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Заавар" sheetId="1" state="visible" r:id="rId3"/>
    <sheet name="Тохиргоо" sheetId="2" state="visible" r:id="rId4"/>
    <sheet name="ХХОАТ хүснэгт" sheetId="3" state="visible" r:id="rId5"/>
    <sheet name="Ажилтнууд" sheetId="4" state="visible" r:id="rId6"/>
    <sheet name="Урьдчилгаа" sheetId="5" state="visible" r:id="rId7"/>
    <sheet name="Сарын сүүл" sheetId="6" state="visible" r:id="rId8"/>
    <sheet name="Ажил олгогч" sheetId="7" state="visible" r:id="rId9"/>
    <sheet name="Нэгтгэл" sheetId="8" state="visible" r:id="rId10"/>
    <sheet name="Цалингийн хуудас" sheetId="9" state="visible" r:id="rId11"/>
  </sheets>
  <definedNames>
    <definedName function="false" hidden="false" localSheetId="8" name="_xlnm.Print_Area" vbProcedure="false">'Цалингийн хуудас'!$B$2:$E$28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<sst xmlns="http://schemas.openxmlformats.org/spreadsheetml/2006/main" count="388" uniqueCount="320">
  <si>
    <t xml:space="preserve">ЦАЛИН БОДОХ АВТОМАТ ЗАГВАР — урьдчилгаа ба сарын сүүлийн цалин</t>
  </si>
  <si>
    <t xml:space="preserve">2026 оны хууль тогтоомжид нийцүүлэн бэлтгэсэн сургалтын жишээ файл. Ажилтны нэр, регистр зохиомол. Бодит цалин бодохын өмнө хувь хэмжээг харьяа НД, татварын албаны мэдээлэлтэй тулгана уу.</t>
  </si>
  <si>
    <t xml:space="preserve">ӨНГӨНИЙ ТАЙЛБАР</t>
  </si>
  <si>
    <t xml:space="preserve">1,500,000</t>
  </si>
  <si>
    <t xml:space="preserve">Шар дэвсгэр, цэнхэр үсэг — та өөрөө бөглөх нүд.</t>
  </si>
  <si>
    <t xml:space="preserve">Ногоон үсэг — өөр хуудаснаас автоматаар татсан утга. Өөрчлөх шаардлагагүй.</t>
  </si>
  <si>
    <t xml:space="preserve">Хар үсэг — томьёо. Өөрчлөхгүй.</t>
  </si>
  <si>
    <t xml:space="preserve">АШИГЛАХ ДАРААЛАЛ</t>
  </si>
  <si>
    <t xml:space="preserve">1. Тохиргоо</t>
  </si>
  <si>
    <t xml:space="preserve">Он, сар, тухайн сарын ажлын өдөр, 1–15-ны ажлын өдөр, урьдчилгааны хувийг оруулна. ХХДХ, шимтгэлийн хувь өөрчлөгдсөн эсэхийг шалгана.</t>
  </si>
  <si>
    <t xml:space="preserve">2. Ажилтнууд</t>
  </si>
  <si>
    <t xml:space="preserve">Овог, нэр, регистр, албан тушаал, үндсэн цалин, нэмэгдлийн хувь, хоол унааны мөнгө. ТТД регистрээс автоматаар гарна. Хөгжлийн бэрхшээлтэй ажилтанд «ХХОАТ-аас чөлөөлөх» = Тийм.</t>
  </si>
  <si>
    <t xml:space="preserve">3. Урьдчилгаа</t>
  </si>
  <si>
    <t xml:space="preserve">Сарын эхний хагаст ажилласан өдрийг оруулна. Олгох дүн автоматаар гарна. Сарын дундуур олгоно.</t>
  </si>
  <si>
    <t xml:space="preserve">4. Сарын сүүл</t>
  </si>
  <si>
    <t xml:space="preserve">Ажилласан өдөр, илүү цаг, шагнал урамшуулал, бусад суутгалыг оруулна. НД, ЭМД, ХХОАТ, гарт олгох дүн автоматаар бодогдож, урьдчилгаа хасагдана.</t>
  </si>
  <si>
    <t xml:space="preserve">5. Ажил олгогч</t>
  </si>
  <si>
    <t xml:space="preserve">Байгууллагын төлөх НД, ЭМД шимтгэл ба нийт цалингийн зардал.</t>
  </si>
  <si>
    <t xml:space="preserve">6. Нэгтгэл</t>
  </si>
  <si>
    <t xml:space="preserve">Шилжүүлэх дүн, тайлангийн хугацаа, санхүүгийн бичилт. «Шалгалт» мөр «Зөрүүгүй» байх ёстой.</t>
  </si>
  <si>
    <t xml:space="preserve">7. Цалингийн хуудас</t>
  </si>
  <si>
    <t xml:space="preserve">Ажилтны нэрийг жагсаалтаас сонгоод хэвлэнэ.</t>
  </si>
  <si>
    <t xml:space="preserve">8. Дараа сар</t>
  </si>
  <si>
    <t xml:space="preserve">Файлыг хуулбарлаад зөвхөн шар нүднүүдийг шинэчилнэ.</t>
  </si>
  <si>
    <t xml:space="preserve">ТООЦООНЫ АРГАЧЛАЛ</t>
  </si>
  <si>
    <t xml:space="preserve">• Урьдчилгаа = Үндсэн цалин × Урьдчилгааны хувь × (1-р хагаст ажилласан өдөр ÷ 1-р хагасын ажлын өдөр), 100₮-өөр доош бүхэлчилнэ. Урьдчилгаанаас шимтгэл, татвар суутгахгүй.</t>
  </si>
  <si>
    <t xml:space="preserve">• Ажилласан хоногийн цалин = Үндсэн цалин × Ажилласан өдөр ÷ Ажлын өдөр.   Нэмэгдэл = Ажилласан хоногийн цалин × нэмэгдлийн хувь.</t>
  </si>
  <si>
    <t xml:space="preserve">• Илүү цагийн хөлс = Илүү цаг × Үндсэн цалин ÷ (Ажлын өдөр × 8) × 1.5. Хуульд дундаж цалин хөлснөөс бодохоор заасан тул шаардлагатай бол тохируулна (ХтХ 109.1).</t>
  </si>
  <si>
    <t xml:space="preserve">• Хоол, унааны мөнгө = Сарын дүн × Ажилласан өдөр ÷ Ажлын өдөр. Энэ мөнгөнд НД, ХХОАТ ногдоно (НДЕХ 19.1.3, ХХОАТ 7.1.7).</t>
  </si>
  <si>
    <t xml:space="preserve">• Шимтгэл ногдох орлого = MIN(Нийт бодогдсон цалин; ХХДХ × 10). Ажилтны НД 9.5% (тэтгэвэр 8.5 + тэтгэмж 0.8 + ажилгүйдэл 0.2), ЭМД 2%.</t>
  </si>
  <si>
    <t xml:space="preserve">• Татвар ногдуулах орлого = Нийт бодогдсон цалин − НД − ЭМД. ХХОАТ = шатлалаар (2026: 10% / 15% / 20%) − сарын хөнгөлөлт (2026 онд).</t>
  </si>
  <si>
    <t xml:space="preserve">• Гарт олгох = Нийт бодогдсон цалин − НД − ЭМД − ХХОАТ − Урьдчилгаа − Бусад суутгал.</t>
  </si>
  <si>
    <t xml:space="preserve">• Ажил олгогчийн шимтгэл: НД 10.4% (ҮОМШӨ 0.3% үед; 1.2% эсвэл 2.2% байж болно) + ЭМД 2%.</t>
  </si>
  <si>
    <t xml:space="preserve">ТТД-Г РЕГИСТРЭЭР АВТОМАТААР ТАТАХ</t>
  </si>
  <si>
    <t xml:space="preserve">• Ажилтнууд хуудсанд регистрийн дугаар оруулахад ТТД (татвар төлөгчийн дугаар) е-баримтын нээлттэй лавлахаас (api.ebarimt.mn/api/info/check/getTinInfo) автоматаар гарна. Энэ нь ХХОАТ-ын суутгалын тайланд ажилтан бүрийн ТТД бөглөхөд хэрэгтэй.</t>
  </si>
  <si>
    <t xml:space="preserve">• Шаардлага: Windows-ийн Excel 2013 ба түүнээс хойшхи хувилбар (WEBSERVICE, ENCODEURL функц) ба интернет холболт. Интернетээс татсан файл «Protected View»-ээр нээгдвэл «Enable Editing» дарна. Шинэчлэх бол Ctrl+Alt+F9.</t>
  </si>
  <si>
    <t xml:space="preserve">• «Олдсонгүй» — регистр буруу бичигдсэн эсвэл тухайн хүн татвар төлөгчөөр бүртгэлгүй. Регистрийн үсгийг кирилл үсгээр бичсэн эсэхийг шалгана.</t>
  </si>
  <si>
    <t xml:space="preserve">• «Холболтгүй» — интернетгүй, эсвэл Mac, Excel Online, Google Sheets дээр нээсэн (эдгээрт WEBSERVICE ажиллахгүй). Энэ үед ТТД-г e-tax.mta.mn эсвэл иргэний үнэмлэхний QR кодоос хараад гараар дарж бичнэ.</t>
  </si>
  <si>
    <t xml:space="preserve">• Регистрийн дугаар нь Татварын ерөнхий газрын албан ёсны лавлах руу илгээгдэнэ. Хариу нь Ажилтнууд хуудасны нуусан M, N баганад хадгалагдана.</t>
  </si>
  <si>
    <t xml:space="preserve">2027, 2028 ОНЫ ӨӨРЧЛӨЛТ (Тохиргоо дээр онг сольж туршина)</t>
  </si>
  <si>
    <t xml:space="preserve">• 2027: жилийн 9,504,000₮ (сард 792,000₮) хүртэлх орлогод 0%, түүнээс дээш 10%. Сарын хөнгөлөлт (23.1) хүчингүй (2026.06.26-ны хууль).</t>
  </si>
  <si>
    <t xml:space="preserve">• 2028-аас: 792,000₮–2,000,000₮ хооронд 1%, түүнээс дээш 10%.</t>
  </si>
  <si>
    <t xml:space="preserve">• 2028-аас ажил олгогчийн шимтгэлд дээд хязгаар: ХХДХ × 12 (2029: × 11, 2030-аас: × 10).</t>
  </si>
  <si>
    <t xml:space="preserve">• ХХДХ өөрчлөгдвөл Тохиргоо дээрх утгыг шинэчилнэ — шимтгэлийн дээд хязгаар автоматаар өөрчлөгдөнө.</t>
  </si>
  <si>
    <t xml:space="preserve">ЭНЭ ЗАГВАРТ ТУСГААГҮЙ — тусад нь шалгана</t>
  </si>
  <si>
    <t xml:space="preserve">• Тэтгэвэр авагч ажилтны шимтгэл (тэтгэврийн даатгалаас татгалзах эрх — НДЕХ 7.3.4, 7.6).</t>
  </si>
  <si>
    <t xml:space="preserve">• Ажил гүйцэтгэх, хөлсөөр ажиллах гэрээт ажилтан (шимтгэлийн дээд хязгаар ХХДХ × 3 — НДЕХ 19.4.2).</t>
  </si>
  <si>
    <t xml:space="preserve">• Сарын цалин ХХДХ-ээс бага үеийн шимтгэлийн доод хэмжээ (НДЕХ 19.2).</t>
  </si>
  <si>
    <t xml:space="preserve">• Ээлжийн амралтын олговор, эмнэлгийн хуудасны тэтгэмж, ажлаас чөлөөлөгдөх үеийн тооцоо.</t>
  </si>
  <si>
    <t xml:space="preserve">• Жилийн эцсийн ХХОАТ-ын эцсийн тооцоо (шатлалыг жилийн орлогоор нягтлах).</t>
  </si>
  <si>
    <t xml:space="preserve">• Таамаг: ажилтны ЭМД-ыг НД-тэй адил ХХДХ × 10 дээд хязгаараар тооцсон.</t>
  </si>
  <si>
    <t xml:space="preserve">МАЯГТЫН ТАЛААР</t>
  </si>
  <si>
    <t xml:space="preserve">Цалингийн хүснэгтийн хэлбэрийг ихэвчлэн байгууллага дотоод журмаараа тогтоодог. Энэ файл нь НД-ын шимтгэлийн тайлан, ХХОАТ-ын суутгалын тайланд шаардагдах үзүүлэлтүүдийг (регистр, нийт цалин, шимтгэл, суутгасан татвар) ажилтан тус бүрээр агуулсан. Төсөвт байгууллага бол харьяа санхүүгийн албаны мөрдүүлдэг маягтыг шалгаарай.</t>
  </si>
  <si>
    <t xml:space="preserve">ХУУЛЬ ЗҮЙН ҮНДЭСЛЭЛ</t>
  </si>
  <si>
    <t xml:space="preserve">ХтХ</t>
  </si>
  <si>
    <t xml:space="preserve">Хөдөлмөрийн тухай хууль (2021): 104.1 — цалинг сард 2-оос доошгүй удаа тогтсон өдөр олгох; 104.5 — урьдчилан олгох; 109.1 — илүү цаг.</t>
  </si>
  <si>
    <t xml:space="preserve">НДЕХ</t>
  </si>
  <si>
    <t xml:space="preserve">Нийгмийн даатгалын ерөнхий хууль (2023): 4.1.17, 18.1 хувь хэмжээ, 19.1 ногдох орлого, 19.4.1 дээд хязгаар, 19.5, 21.1 төлөх, 25.1 тайлан.</t>
  </si>
  <si>
    <t xml:space="preserve">ЭМД</t>
  </si>
  <si>
    <t xml:space="preserve">Засгийн газрын 2026.01.07-ны тогтоол: ЭМД 4% (ажил олгогч 2%, ажилтан 2%).</t>
  </si>
  <si>
    <t xml:space="preserve">ХХОАТ</t>
  </si>
  <si>
    <t xml:space="preserve">Хувь хүний орлогын албан татварын тухай хууль (2019): 7.1, 14.1, 21.1 шатлал, 22.1.2 чөлөөлөлт, 23.1 хөнгөлөлт, 25.4–25.7, 27.1.</t>
  </si>
  <si>
    <t xml:space="preserve">ХХДХ</t>
  </si>
  <si>
    <t xml:space="preserve">Хөдөлмөр, нийгмийн түншлэлийн гурван талт үндэсний хорооны 2024.10.07-ны 03 тогтоол: 792,000₮ (2025.04.01-нээс).</t>
  </si>
  <si>
    <t xml:space="preserve">ЭХ СУРВАЛЖ</t>
  </si>
  <si>
    <t xml:space="preserve">https://legalinfo.mn/mn/detail/14410  (ХХОАТ-ын хууль)</t>
  </si>
  <si>
    <t xml:space="preserve">https://legalinfo.mn/mn/detail/16760148379551  (Нийгмийн даатгалын ерөнхий хууль)</t>
  </si>
  <si>
    <t xml:space="preserve">https://gogo.mn/r/yk5xv2  (ЭМД-ын шимтгэлийн хувь, 2026.01.07)</t>
  </si>
  <si>
    <t xml:space="preserve">https://ikon.mn/n/3bk6  (ХХДХ 792,000₮)</t>
  </si>
  <si>
    <t xml:space="preserve">https://ikon.mn/n/3isz  (2026 оны ХХОАТ-ын сарын шатлал)</t>
  </si>
  <si>
    <t xml:space="preserve">https://ikon.mn/n/2mha  (Хөдөлмөрийн тухай хууль, 104 дүгээр зүйл)</t>
  </si>
  <si>
    <t xml:space="preserve">https://developer.itc.gov.mn  (е-баримтын хөгжүүлэгчийн портал — getTinInfo лавлах)</t>
  </si>
  <si>
    <t xml:space="preserve">ТОХИРГОО — цалин бодоход хэрэглэх үзүүлэлтүүд</t>
  </si>
  <si>
    <t xml:space="preserve">Зөвхөн шар нүдийг өөрчилнө. Бусад нь автоматаар бодогдоно.</t>
  </si>
  <si>
    <t xml:space="preserve">ЕРӨНХИЙ</t>
  </si>
  <si>
    <t xml:space="preserve">Байгууллагын нэр</t>
  </si>
  <si>
    <t xml:space="preserve">Жишээ ХХК</t>
  </si>
  <si>
    <t xml:space="preserve">Цалингийн хүснэгт, хуудсан дээр гарна</t>
  </si>
  <si>
    <t xml:space="preserve">Тайлант он</t>
  </si>
  <si>
    <t xml:space="preserve">2026 / 2027 / 2028... Онг өөрчлөхөд ХХОАТ-ын шатлал, хөнгөлөлт автоматаар солигдоно</t>
  </si>
  <si>
    <t xml:space="preserve">Тайлант сар</t>
  </si>
  <si>
    <t xml:space="preserve">1–12</t>
  </si>
  <si>
    <t xml:space="preserve">Сарын ажлын өдөр (норм)</t>
  </si>
  <si>
    <t xml:space="preserve">Тухайн сарын ажлын өдөр (бямба, ням, баярын өдрийг хасаж)</t>
  </si>
  <si>
    <t xml:space="preserve">1-р хагасын ажлын өдөр (1–15-ны)</t>
  </si>
  <si>
    <t xml:space="preserve">Урьдчилгаа бодох хугацааны ажлын өдөр</t>
  </si>
  <si>
    <t xml:space="preserve">Урьдчилгааны хувь (үндсэн цалингаас)</t>
  </si>
  <si>
    <t xml:space="preserve">Байгууллагын дотоод журмаар тогтооно. Ихэвчлэн 40–50%</t>
  </si>
  <si>
    <t xml:space="preserve">Илүү цагийн нэмэгдүүлэх итгэлцүүр</t>
  </si>
  <si>
    <t xml:space="preserve">Хөдөлмөрийн тухай хууль 109.1: нөхөн амруулаагүй бол 1.5-аас доошгүй дахин</t>
  </si>
  <si>
    <t xml:space="preserve">Өдрийн ажлын цаг</t>
  </si>
  <si>
    <t xml:space="preserve">Цагийн хөлс бодоход хэрэглэнэ</t>
  </si>
  <si>
    <t xml:space="preserve">НИЙГМИЙН ДААТГАЛ (НД), ЭРҮҮЛ МЭНДИЙН ДААТГАЛ (ЭМД)</t>
  </si>
  <si>
    <t xml:space="preserve">Хөдөлмөрийн хөлсний доод хэмжээ (ХХДХ), ₮</t>
  </si>
  <si>
    <t xml:space="preserve">Гурван талт хорооны 2024.10.07-ны 03 тогтоол, 2025.04.01-нээс. Өөрчлөгдвөл шинэчилнэ</t>
  </si>
  <si>
    <t xml:space="preserve">Ажилтны шимтгэлийн дээд хязгаар (ХХДХ × дахин)</t>
  </si>
  <si>
    <t xml:space="preserve">НД-ын ерөнхий хууль 19.4.1</t>
  </si>
  <si>
    <t xml:space="preserve">Ажилтны шимтгэл ногдох орлогын дээд хэмжээ, ₮</t>
  </si>
  <si>
    <t xml:space="preserve">Үүнээс дээших цалинд ажилтны НД, ЭМД нэмэгдэхгүй</t>
  </si>
  <si>
    <t xml:space="preserve">Ажилтан: Тэтгэврийн даатгал</t>
  </si>
  <si>
    <t xml:space="preserve">НД-ын ерөнхий хууль 18.1</t>
  </si>
  <si>
    <t xml:space="preserve">Ажилтан: Тэтгэмжийн даатгал</t>
  </si>
  <si>
    <t xml:space="preserve">Ажилтан: Ажилгүйдлийн даатгал</t>
  </si>
  <si>
    <t xml:space="preserve">Ажилтан: НД нийт</t>
  </si>
  <si>
    <t xml:space="preserve">Ажилтан: ЭМД</t>
  </si>
  <si>
    <t xml:space="preserve">Засгийн газрын 2026.01.07-ны тогтоол: ажилтан 2%, ажил олгогч 2%</t>
  </si>
  <si>
    <t xml:space="preserve">Ажил олгогч: Тэтгэврийн даатгал</t>
  </si>
  <si>
    <t xml:space="preserve">Ажил олгогч: Тэтгэмжийн даатгал</t>
  </si>
  <si>
    <t xml:space="preserve">Ажил олгогч: Үйлдвэрлэлийн осол, мэргэжлээс шалтгаалсан өвчин</t>
  </si>
  <si>
    <t xml:space="preserve">0.3%, 1.2% эсвэл 2.2% — ажлын байрны эрсдэлээс хамаарна (18.1, 18.2)</t>
  </si>
  <si>
    <t xml:space="preserve">Ажил олгогч: Ажилгүйдлийн даатгал</t>
  </si>
  <si>
    <t xml:space="preserve">Ажил олгогч: НД нийт</t>
  </si>
  <si>
    <t xml:space="preserve">Ажил олгогч: ЭМД</t>
  </si>
  <si>
    <t xml:space="preserve">Засгийн газрын 2026.01.07-ны тогтоол</t>
  </si>
  <si>
    <t xml:space="preserve">Ажил олгогчийн шимтгэлийн дээд хязгаар (ХХДХ × дахин)</t>
  </si>
  <si>
    <t xml:space="preserve">НД-ын ерөнхий хууль 19.5: 2028 онд 12, 2029 онд 11, 2030-аас 10 дахин. 2027 он хүртэл хязгааргүй</t>
  </si>
  <si>
    <t xml:space="preserve">Ажил олгогчийн шимтгэл ногдох орлогын дээд хэмжээ, ₮</t>
  </si>
  <si>
    <t xml:space="preserve">ХУВЬ ХҮНИЙ ОРЛОГЫН АЛБАН ТАТВАР (ХХОАТ)</t>
  </si>
  <si>
    <t xml:space="preserve">Татварын горим (автомат)</t>
  </si>
  <si>
    <t xml:space="preserve">Шатлалыг «ХХОАТ хүснэгт» хуудаснаас онд тохируулан автоматаар сонгоно</t>
  </si>
  <si>
    <t xml:space="preserve">Сарын хөнгөлөлт (хуулийн 23.1) үйлчлэх эсэх</t>
  </si>
  <si>
    <t xml:space="preserve">2026.06.26-ны хуулиар 23.1 хүчингүй, 2027.01.01-нээс</t>
  </si>
  <si>
    <t xml:space="preserve">ХХОАТ-ын шатлал ба хөнгөлөлт (сарын дүнгээр)</t>
  </si>
  <si>
    <t xml:space="preserve">Хуулийн шатлал жилийн орлогоор тогтоогдсон тул 12-т хувааж сар бүр суутгана; жилийн эцэст эцэслэн тооцно (ХХОАТ-ын хууль 25.7).</t>
  </si>
  <si>
    <t xml:space="preserve">2026 он (одоо мөрдөж буй)</t>
  </si>
  <si>
    <t xml:space="preserve">2027 он</t>
  </si>
  <si>
    <t xml:space="preserve">2028 оноос</t>
  </si>
  <si>
    <t xml:space="preserve">СОНГОГДСОН (автомат)</t>
  </si>
  <si>
    <t xml:space="preserve">Доод хязгаар, ₮</t>
  </si>
  <si>
    <t xml:space="preserve">Хувь</t>
  </si>
  <si>
    <t xml:space="preserve">Тогтмол дүн, ₮</t>
  </si>
  <si>
    <t xml:space="preserve">Сарын 10 сая хүртэл 10%, 10–15 сая 15%, 15 саяас дээш 20% (жилийн 120 / 180 сая)</t>
  </si>
  <si>
    <t xml:space="preserve">Хуулийн 21.1.1: жилийн 9,504,000₮ (сард 792,000₮) хүртэл 0%</t>
  </si>
  <si>
    <t xml:space="preserve">Хуулийн 21.1.2: 792,000–2,000,000₮ хооронд 1%</t>
  </si>
  <si>
    <t xml:space="preserve">Саарал мөр (999,999,999,999) нь хүснэгтийг дүүргэх зорилготой, тооцоонд ашиглагдахгүй.</t>
  </si>
  <si>
    <t xml:space="preserve">Сарын хөнгөлөлт (ХХОАТ-ын хууль 23.1, 25.5) — зөвхөн 2026 он хүртэл</t>
  </si>
  <si>
    <t xml:space="preserve">Сарын татвар ногдуулах орлого (хүртэл), ₮</t>
  </si>
  <si>
    <t xml:space="preserve">Сарын хөнгөлөлт, ₮</t>
  </si>
  <si>
    <t xml:space="preserve">Жилийн орлого (хүртэл), ₮ — хуулиар</t>
  </si>
  <si>
    <t xml:space="preserve">Жилийн хөнгөлөлт, ₮ — хуулиар</t>
  </si>
  <si>
    <t xml:space="preserve">Хөнгөлөлтийн шатлалыг татвар ногдуулах орлогоор (цалингаас НД, ЭМД хассан дүн) тодорхойлно. «хүртэл» гэснийг тухайн дүнг багтаасан гэж тооцсон. Хөнгөлөлт нь тооцсон татвараас хэтрэхгүй (23.14).</t>
  </si>
  <si>
    <t xml:space="preserve">АЖИЛТНЫ ЖАГСААЛТ</t>
  </si>
  <si>
    <t xml:space="preserve">Ажилтан бүрийг нэг мөрөнд. Энэ хуудаснаас бусад хуудас автоматаар татна (30 хүртэл ажилтан).</t>
  </si>
  <si>
    <t xml:space="preserve">№</t>
  </si>
  <si>
    <t xml:space="preserve">Овог</t>
  </si>
  <si>
    <t xml:space="preserve">Нэр</t>
  </si>
  <si>
    <t xml:space="preserve">Регистрийн дугаар</t>
  </si>
  <si>
    <t xml:space="preserve">ТТД — татвар төлөгчийн дугаар (автомат)</t>
  </si>
  <si>
    <t xml:space="preserve">Албан тушаал</t>
  </si>
  <si>
    <t xml:space="preserve">Үндсэн цалин, ₮</t>
  </si>
  <si>
    <t xml:space="preserve">Ур чадварын нэмэгдэл, %</t>
  </si>
  <si>
    <t xml:space="preserve">Удаан жилийн нэмэгдэл, %</t>
  </si>
  <si>
    <t xml:space="preserve">Хоол, унааны мөнгө (сарын), ₮</t>
  </si>
  <si>
    <t xml:space="preserve">ХХОАТ-аас чөлөөлөх (Тийм/Үгүй)</t>
  </si>
  <si>
    <t xml:space="preserve">Тайлбар</t>
  </si>
  <si>
    <t xml:space="preserve">е-баримтын хариу (нуусан)</t>
  </si>
  <si>
    <t xml:space="preserve">Задалсан утга (нуусан)</t>
  </si>
  <si>
    <t xml:space="preserve">Дорж</t>
  </si>
  <si>
    <t xml:space="preserve">Болд</t>
  </si>
  <si>
    <t xml:space="preserve">ЖШ00000001</t>
  </si>
  <si>
    <t xml:space="preserve">Гүйцэтгэх захирал</t>
  </si>
  <si>
    <t xml:space="preserve">Үгүй</t>
  </si>
  <si>
    <t xml:space="preserve">Шимтгэлийн дээд хязгаарын жишээ</t>
  </si>
  <si>
    <t xml:space="preserve">Сүрэн</t>
  </si>
  <si>
    <t xml:space="preserve">Сарангэрэл</t>
  </si>
  <si>
    <t xml:space="preserve">ЖШ00000002</t>
  </si>
  <si>
    <t xml:space="preserve">Ерөнхий нягтлан бодогч</t>
  </si>
  <si>
    <t xml:space="preserve">Бат</t>
  </si>
  <si>
    <t xml:space="preserve">Энхжин</t>
  </si>
  <si>
    <t xml:space="preserve">ЖШ00000003</t>
  </si>
  <si>
    <t xml:space="preserve">Борлуулалтын менежер</t>
  </si>
  <si>
    <t xml:space="preserve">Очир</t>
  </si>
  <si>
    <t xml:space="preserve">Мөнхзул</t>
  </si>
  <si>
    <t xml:space="preserve">ЖШ00000004</t>
  </si>
  <si>
    <t xml:space="preserve">Нягтлан бодогч</t>
  </si>
  <si>
    <t xml:space="preserve">Пүрэв</t>
  </si>
  <si>
    <t xml:space="preserve">Тэмүүлэн</t>
  </si>
  <si>
    <t xml:space="preserve">ЖШ00000005</t>
  </si>
  <si>
    <t xml:space="preserve">Нярав</t>
  </si>
  <si>
    <t xml:space="preserve">Лхагва</t>
  </si>
  <si>
    <t xml:space="preserve">Баатар</t>
  </si>
  <si>
    <t xml:space="preserve">ЖШ00000006</t>
  </si>
  <si>
    <t xml:space="preserve">Жолооч</t>
  </si>
  <si>
    <t xml:space="preserve">Дамдин</t>
  </si>
  <si>
    <t xml:space="preserve">Оюун</t>
  </si>
  <si>
    <t xml:space="preserve">ЖШ00000007</t>
  </si>
  <si>
    <t xml:space="preserve">Үйлчлэгч</t>
  </si>
  <si>
    <t xml:space="preserve">Цэнд</t>
  </si>
  <si>
    <t xml:space="preserve">Ариунаа</t>
  </si>
  <si>
    <t xml:space="preserve">ЖШ00000008</t>
  </si>
  <si>
    <t xml:space="preserve">Оператор</t>
  </si>
  <si>
    <t xml:space="preserve">Тийм</t>
  </si>
  <si>
    <t xml:space="preserve">Хөгжлийн бэрхшээлтэй — ХХОАТ-ын хууль 22.1.2</t>
  </si>
  <si>
    <t xml:space="preserve">ТТД (E багана) нь регистрийн дугаараар е-баримтын нээлттэй лавлахаас (api.ebarimt.mn) автоматаар татагдана. Windows-ийн Excel 2013 ба түүнээс хойшхи хувилбар, интернет холболт шаардлагатай.</t>
  </si>
  <si>
    <t xml:space="preserve">«Олдсонгүй» — регистр буруу, эсвэл татвар төлөгчөөр бүртгэлгүй.  «Холболтгүй» — интернетгүй, эсвэл Mac / Excel Online / Google Sheets (WEBSERVICE функц ажиллахгүй). Энэ үед ТТД-г гараар дарж бичнэ.</t>
  </si>
  <si>
    <t xml:space="preserve">Шинэчлэх: Ctrl+Alt+F9.  Жишээ регистрүүд зохиомол тул «Олдсонгүй» гарна — бодит регистр оруулж туршина уу.</t>
  </si>
  <si>
    <t xml:space="preserve">УРЬДЧИЛГАА ЦАЛИН (сарын 1–15)</t>
  </si>
  <si>
    <t xml:space="preserve">Овог нэр</t>
  </si>
  <si>
    <t xml:space="preserve">1-р хагасын ажлын өдөр</t>
  </si>
  <si>
    <t xml:space="preserve">Ажилласан өдөр</t>
  </si>
  <si>
    <t xml:space="preserve">Урьдчилгааны хувь</t>
  </si>
  <si>
    <t xml:space="preserve">Олгох урьдчилгаа, ₮</t>
  </si>
  <si>
    <t xml:space="preserve">Гарын үсэг</t>
  </si>
  <si>
    <t xml:space="preserve">НИЙТ</t>
  </si>
  <si>
    <t xml:space="preserve">Урьдчилгаанаас шимтгэл, татвар суутгахгүй. Бүгдийг сарын сүүлд бүтэн сарын цалингаас бодож, урьдчилгааг хасна.</t>
  </si>
  <si>
    <t xml:space="preserve">Олгох дүнг 100₮-өөр доош бүхэлчилсэн. Хөдөлмөрийн тухай хууль 104.1: цалинг сард 2-оос доошгүй удаа тогтсон өдөр олгоно.</t>
  </si>
  <si>
    <t xml:space="preserve">Олгосон: ......................... (нягтлан)          Хянасан: ......................... (захирал)</t>
  </si>
  <si>
    <t xml:space="preserve">САРЫН СҮҮЛИЙН ЦАЛИН</t>
  </si>
  <si>
    <t xml:space="preserve">БОДОГДСОН ЦАЛИН</t>
  </si>
  <si>
    <t xml:space="preserve">ШИМТГЭЛ, ТАТВАР</t>
  </si>
  <si>
    <t xml:space="preserve">СУУТГАЛ БА ОЛГОХ</t>
  </si>
  <si>
    <t xml:space="preserve">Регистр</t>
  </si>
  <si>
    <t xml:space="preserve">Ажлын өдөр (норм)</t>
  </si>
  <si>
    <t xml:space="preserve">Ажилласан хоногийн цалин</t>
  </si>
  <si>
    <t xml:space="preserve">Ур чадварын нэмэгдэл</t>
  </si>
  <si>
    <t xml:space="preserve">Удаан жилийн нэмэгдэл</t>
  </si>
  <si>
    <t xml:space="preserve">Илүү цаг (цаг)</t>
  </si>
  <si>
    <t xml:space="preserve">Илүү цагийн хөлс</t>
  </si>
  <si>
    <t xml:space="preserve">Шагнал, урамшуулал</t>
  </si>
  <si>
    <t xml:space="preserve">Хоол, унааны мөнгө</t>
  </si>
  <si>
    <t xml:space="preserve">НИЙТ БОДОГДСОН ЦАЛИН</t>
  </si>
  <si>
    <t xml:space="preserve">Шимтгэл ногдох орлого</t>
  </si>
  <si>
    <t xml:space="preserve">НД шимтгэл (ажилтан)</t>
  </si>
  <si>
    <t xml:space="preserve">ЭМД шимтгэл (ажилтан)</t>
  </si>
  <si>
    <t xml:space="preserve">Татвар ногдуулах орлого</t>
  </si>
  <si>
    <t xml:space="preserve">ХХОАТ (хөнгөлөлтийн өмнө)</t>
  </si>
  <si>
    <t xml:space="preserve">ХХОАТ-ын хөнгөлөлт</t>
  </si>
  <si>
    <t xml:space="preserve">ХХОАТ суутгах</t>
  </si>
  <si>
    <t xml:space="preserve">Урьдчилгаа (олгосон)</t>
  </si>
  <si>
    <t xml:space="preserve">Бусад суутгал</t>
  </si>
  <si>
    <t xml:space="preserve">НИЙТ СУУТГАЛ</t>
  </si>
  <si>
    <t xml:space="preserve">ГАРТ ОЛГОХ</t>
  </si>
  <si>
    <t xml:space="preserve">Шимтгэл ногдох орлого = MIN(Нийт бодогдсон цалин; ХХДХ × 10).  НД = 9.5%, ЭМД = 2%.</t>
  </si>
  <si>
    <t xml:space="preserve">Татвар ногдуулах орлого = Нийт бодогдсон цалин − НД − ЭМД (ХХОАТ-ын хууль 14.1).  ХХОАТ = шатлалаар − хөнгөлөлт.</t>
  </si>
  <si>
    <t xml:space="preserve">Гарт олгох = Нийт бодогдсон цалин − НД − ЭМД − ХХОАТ − Урьдчилгаа − Бусад суутгал.  Улаан нүд = урьдчилгаа хэтэрсэн.</t>
  </si>
  <si>
    <t xml:space="preserve">Бодсон: ......................... (нягтлан)          Хянасан: ......................... (захирал)</t>
  </si>
  <si>
    <t xml:space="preserve">АЖИЛ ОЛГОГЧИЙН ТӨЛӨХ ШИМТГЭЛ</t>
  </si>
  <si>
    <t xml:space="preserve">Нийт бодогдсон цалин</t>
  </si>
  <si>
    <t xml:space="preserve">Тэтгэврийн даатгал</t>
  </si>
  <si>
    <t xml:space="preserve">Тэтгэмжийн даатгал</t>
  </si>
  <si>
    <t xml:space="preserve">ҮОМШӨ даатгал</t>
  </si>
  <si>
    <t xml:space="preserve">Ажилгүйдлийн даатгал</t>
  </si>
  <si>
    <t xml:space="preserve">НД нийт (ажил олгогч)</t>
  </si>
  <si>
    <t xml:space="preserve">ЭМД (ажил олгогч)</t>
  </si>
  <si>
    <t xml:space="preserve">НИЙТ ШИМТГЭЛ</t>
  </si>
  <si>
    <t xml:space="preserve">БАЙГУУЛЛАГЫН НИЙТ ЗАРДАЛ</t>
  </si>
  <si>
    <t xml:space="preserve">Ажил олгогчийн шимтгэлийг ажилтны цалингаас суутгахгүй — байгууллагын зардал. 2027 он хүртэл дээд хязгааргүй (НД-ын ерөнхий хууль 19.5).</t>
  </si>
  <si>
    <t xml:space="preserve">ЦАЛИНГИЙН НЭГТГЭЛ</t>
  </si>
  <si>
    <t xml:space="preserve">Үзүүлэлт</t>
  </si>
  <si>
    <t xml:space="preserve">Дүн, ₮</t>
  </si>
  <si>
    <t xml:space="preserve">Ажилтны тоо</t>
  </si>
  <si>
    <t xml:space="preserve">Нэмэгдэл (ур чадвар + удаан жил)</t>
  </si>
  <si>
    <t xml:space="preserve">Цалингийн зардал</t>
  </si>
  <si>
    <t xml:space="preserve">АЖИЛТНЫ ЦАЛИНГААС СУУТГАСАН</t>
  </si>
  <si>
    <t xml:space="preserve">Урьдчилгаа (сарын дундуур олгосон)</t>
  </si>
  <si>
    <t xml:space="preserve">САРЫН СҮҮЛД ОЛГОХ ЦАЛИН</t>
  </si>
  <si>
    <t xml:space="preserve">Банкаар шилжүүлэх дүн</t>
  </si>
  <si>
    <t xml:space="preserve">Шалгалт: нийт = суутгал + олгох</t>
  </si>
  <si>
    <t xml:space="preserve">АЖИЛ ОЛГОГЧИЙН ШИМТГЭЛ</t>
  </si>
  <si>
    <t xml:space="preserve">НД шимтгэл (ажил олгогч)</t>
  </si>
  <si>
    <t xml:space="preserve">ЭМД шимтгэл (ажил олгогч)</t>
  </si>
  <si>
    <t xml:space="preserve">Байгууллагын нийт зардал (цалин + шимтгэл)</t>
  </si>
  <si>
    <t xml:space="preserve">ШИЛЖҮҮЛЭХ ДҮН</t>
  </si>
  <si>
    <t xml:space="preserve">НД-ын санд (ажилтан + ажил олгогч)</t>
  </si>
  <si>
    <t xml:space="preserve">Тухайн сардаа багтаан (НД-ын ерөнхий хууль 21.1)</t>
  </si>
  <si>
    <t xml:space="preserve">ЭМД-ын санд (ажилтан + ажил олгогч)</t>
  </si>
  <si>
    <t xml:space="preserve">Тухайн сардаа багтаан</t>
  </si>
  <si>
    <t xml:space="preserve">Төсөвт шилжүүлэх ХХОАТ</t>
  </si>
  <si>
    <t xml:space="preserve">Дараа сарын 10-ны дотор (ХХОАТ-ын хууль 25.6)</t>
  </si>
  <si>
    <t xml:space="preserve">Тайлан, үйлдэл</t>
  </si>
  <si>
    <t xml:space="preserve">Хугацаа</t>
  </si>
  <si>
    <t xml:space="preserve">Хуулийн заалт</t>
  </si>
  <si>
    <t xml:space="preserve">Цалин олгох</t>
  </si>
  <si>
    <t xml:space="preserve">Сард 2-оос доошгүй удаа, тогтсон өдөр</t>
  </si>
  <si>
    <t xml:space="preserve">Хөдөлмөрийн тухай хууль 104.1</t>
  </si>
  <si>
    <t xml:space="preserve">НД, ЭМД шимтгэл төлөх</t>
  </si>
  <si>
    <t xml:space="preserve">Тухайн сард багтаан</t>
  </si>
  <si>
    <t xml:space="preserve">НД-ын ерөнхий хууль 21.1</t>
  </si>
  <si>
    <t xml:space="preserve">НД шимтгэл төлөлтийн тайлан</t>
  </si>
  <si>
    <t xml:space="preserve">Дараа сарын 5-ны дотор</t>
  </si>
  <si>
    <t xml:space="preserve">НД-ын ерөнхий хууль 25.1</t>
  </si>
  <si>
    <t xml:space="preserve">ХХОАТ төсөвт шилжүүлэх</t>
  </si>
  <si>
    <t xml:space="preserve">Дараа сарын 10-ны дотор</t>
  </si>
  <si>
    <t xml:space="preserve">ХХОАТ-ын хууль 25.6</t>
  </si>
  <si>
    <t xml:space="preserve">ХХОАТ суутгалын улирлын тайлан</t>
  </si>
  <si>
    <t xml:space="preserve">Дараа улирлын эхний сарын 20-ны дотор</t>
  </si>
  <si>
    <t xml:space="preserve">ХХОАТ-ын хууль 27.1</t>
  </si>
  <si>
    <t xml:space="preserve">САНХҮҮГИЙН БИЧИЛТ (жишээ — дансны нэрийг байгууллагын дансны төлөвлөгөөнд тохируулна)</t>
  </si>
  <si>
    <t xml:space="preserve">Гүйлгээ</t>
  </si>
  <si>
    <t xml:space="preserve">Дебет</t>
  </si>
  <si>
    <t xml:space="preserve">Кредит</t>
  </si>
  <si>
    <t xml:space="preserve">1. Цалин бодогдсон</t>
  </si>
  <si>
    <t xml:space="preserve">Цалингийн өглөг</t>
  </si>
  <si>
    <t xml:space="preserve">2. Ажил олгогчийн НД, ЭМД бодогдсон</t>
  </si>
  <si>
    <t xml:space="preserve">НДШ-ийн зардал</t>
  </si>
  <si>
    <t xml:space="preserve">НДШ-ийн өглөг</t>
  </si>
  <si>
    <t xml:space="preserve">3. Ажилтны НД, ЭМД суутгасан</t>
  </si>
  <si>
    <t xml:space="preserve">4. ХХОАТ суутгасан</t>
  </si>
  <si>
    <t xml:space="preserve">ХХОАТ-ын өглөг</t>
  </si>
  <si>
    <t xml:space="preserve">5. Урьдчилгаа олгосон</t>
  </si>
  <si>
    <t xml:space="preserve">Харилцах данс</t>
  </si>
  <si>
    <t xml:space="preserve">6. Бусад суутгал</t>
  </si>
  <si>
    <t xml:space="preserve">Бусад өглөг / авлага</t>
  </si>
  <si>
    <t xml:space="preserve">7. Сарын сүүлийн цалин олгосон</t>
  </si>
  <si>
    <t xml:space="preserve">ЦАЛИНГИЙН ХУУДАС</t>
  </si>
  <si>
    <t xml:space="preserve">Ажилтан сонгох ▼</t>
  </si>
  <si>
    <t xml:space="preserve">Д.Болд</t>
  </si>
  <si>
    <t xml:space="preserve">Регистр / ТТД</t>
  </si>
  <si>
    <t xml:space="preserve">Ажлын өдөр / Ажилласан өдөр</t>
  </si>
  <si>
    <t xml:space="preserve">БОДОГДСОН</t>
  </si>
  <si>
    <t xml:space="preserve">СУУТГАЛ</t>
  </si>
  <si>
    <t xml:space="preserve">НД шимтгэл</t>
  </si>
  <si>
    <t xml:space="preserve">ЭМД шимтгэл</t>
  </si>
  <si>
    <t xml:space="preserve">Урьдчилгаа</t>
  </si>
  <si>
    <t xml:space="preserve">НИЙТ БОДОГДСОН</t>
  </si>
  <si>
    <t xml:space="preserve">ГАРТ ОЛГОХ ЦАЛИН (сарын сүүлд)</t>
  </si>
  <si>
    <t xml:space="preserve">Үүнд тооцсон ХХОАТ-ын хөнгөлөлт, ₮</t>
  </si>
  <si>
    <t xml:space="preserve">Ажил олгогч таны өмнөөс төлсөн НД, ЭМД, ₮</t>
  </si>
  <si>
    <t xml:space="preserve">Сарын нийт хүлээн авсан (урьдчилгаа + сүүл), ₮</t>
  </si>
  <si>
    <t xml:space="preserve">Олгосон: .........................          Хүлээн авсан: .........................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</si>
</sst>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0.0%"/>
    <numFmt numFmtId="167" formatCode="0.0"/>
    <numFmt numFmtId="168" formatCode="#,##0;[RED]\-#,##0;\-"/>
    <numFmt numFmtId="169" formatCode="0;\-0;&quot;Хязгааргүй&quot;"/>
    <numFmt numFmtId="170" formatCode="0;\-0;\-"/>
    <numFmt numFmtId="171" formatCode="General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78"/>
      <name val="Arial"/>
      <family val="0"/>
      <charset val="1"/>
    </font>
    <font>
      <sz val="10"/>
      <color rgb="FFC00000"/>
      <name val="Arial"/>
      <family val="0"/>
      <charset val="1"/>
    </font>
    <font>
      <b val="true"/>
      <sz val="10"/>
      <color rgb="FF1F4E78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4"/>
      <color rgb="FF1F4E78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A6A6A6"/>
      <name val="Arial"/>
      <family val="0"/>
      <charset val="1"/>
    </font>
    <font>
      <sz val="8"/>
      <color rgb="FF595959"/>
      <name val="Arial"/>
      <family val="0"/>
      <charset val="1"/>
    </font>
    <font>
      <b val="true"/>
      <sz val="10"/>
      <color rgb="FF375623"/>
      <name val="Arial"/>
      <family val="0"/>
      <charset val="1"/>
    </font>
    <font>
      <i val="true"/>
      <sz val="8"/>
      <color rgb="FF808080"/>
      <name val="Arial"/>
      <family val="0"/>
      <charset val="1"/>
    </font>
    <font>
      <sz val="8"/>
      <color rgb="FF80808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2"/>
      <color rgb="FF000000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D9E1F2"/>
        <bgColor rgb="FFDDEBF7"/>
      </patternFill>
    </fill>
    <fill>
      <patternFill patternType="solid">
        <fgColor rgb="FFFFF2CC"/>
        <bgColor rgb="FFEDEDED"/>
      </patternFill>
    </fill>
    <fill>
      <patternFill patternType="solid">
        <fgColor rgb="FF1F4E78"/>
        <bgColor rgb="FF2F5597"/>
      </patternFill>
    </fill>
    <fill>
      <patternFill patternType="solid">
        <fgColor rgb="FF375623"/>
        <bgColor rgb="FF595959"/>
      </patternFill>
    </fill>
    <fill>
      <patternFill patternType="solid">
        <fgColor rgb="FFE2EFDA"/>
        <bgColor rgb="FFEDEDED"/>
      </patternFill>
    </fill>
    <fill>
      <patternFill patternType="solid">
        <fgColor rgb="FFDDEBF7"/>
        <bgColor rgb="FFD9E1F2"/>
      </patternFill>
    </fill>
    <fill>
      <patternFill patternType="solid">
        <fgColor rgb="FF2F5597"/>
        <bgColor rgb="FF1F4E78"/>
      </patternFill>
    </fill>
    <fill>
      <patternFill patternType="solid">
        <fgColor rgb="FF7F6000"/>
        <bgColor rgb="FF59595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0" fillId="7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22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23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0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5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25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8CBAD"/>
        </patternFill>
      </fill>
    </dxf>
    <dxf>
      <fill>
        <patternFill>
          <bgColor rgb="FFEDEDED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6000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2F5597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E2EFDA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1F4E78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6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1"/>
    <col collapsed="false" customWidth="true" hidden="false" outlineLevel="0" max="3" min="3" style="0" width="108"/>
  </cols>
  <sheetData>
    <row r="1" customFormat="false" ht="19.7" hidden="false" customHeight="false" outlineLevel="0" collapsed="false">
      <c r="B1" s="1" t="s">
        <v>0</v>
      </c>
    </row>
    <row r="2" customFormat="false" ht="30" hidden="false" customHeight="true" outlineLevel="0" collapsed="false">
      <c r="B2" s="2" t="s">
        <v>1</v>
      </c>
      <c r="C2" s="2"/>
    </row>
    <row r="4" customFormat="false" ht="15" hidden="false" customHeight="false" outlineLevel="0" collapsed="false">
      <c r="B4" s="3" t="s">
        <v>2</v>
      </c>
      <c r="C4" s="3"/>
    </row>
    <row r="5" customFormat="false" ht="15" hidden="false" customHeight="true" outlineLevel="0" collapsed="false">
      <c r="B5" s="4" t="s">
        <v>3</v>
      </c>
      <c r="C5" s="5" t="s">
        <v>4</v>
      </c>
    </row>
    <row r="6" customFormat="false" ht="15" hidden="false" customHeight="true" outlineLevel="0" collapsed="false">
      <c r="B6" s="6" t="s">
        <v>3</v>
      </c>
      <c r="C6" s="5" t="s">
        <v>5</v>
      </c>
    </row>
    <row r="7" customFormat="false" ht="15" hidden="false" customHeight="true" outlineLevel="0" collapsed="false">
      <c r="B7" s="7" t="s">
        <v>3</v>
      </c>
      <c r="C7" s="5" t="s">
        <v>6</v>
      </c>
    </row>
    <row r="9" customFormat="false" ht="15" hidden="false" customHeight="false" outlineLevel="0" collapsed="false">
      <c r="B9" s="3" t="s">
        <v>7</v>
      </c>
      <c r="C9" s="3"/>
    </row>
    <row r="10" customFormat="false" ht="30" hidden="false" customHeight="true" outlineLevel="0" collapsed="false">
      <c r="B10" s="8" t="s">
        <v>8</v>
      </c>
      <c r="C10" s="5" t="s">
        <v>9</v>
      </c>
    </row>
    <row r="11" customFormat="false" ht="30" hidden="false" customHeight="true" outlineLevel="0" collapsed="false">
      <c r="B11" s="8" t="s">
        <v>10</v>
      </c>
      <c r="C11" s="5" t="s">
        <v>11</v>
      </c>
    </row>
    <row r="12" customFormat="false" ht="15" hidden="false" customHeight="true" outlineLevel="0" collapsed="false">
      <c r="B12" s="8" t="s">
        <v>12</v>
      </c>
      <c r="C12" s="5" t="s">
        <v>13</v>
      </c>
    </row>
    <row r="13" customFormat="false" ht="30" hidden="false" customHeight="true" outlineLevel="0" collapsed="false">
      <c r="B13" s="8" t="s">
        <v>14</v>
      </c>
      <c r="C13" s="5" t="s">
        <v>15</v>
      </c>
    </row>
    <row r="14" customFormat="false" ht="15" hidden="false" customHeight="true" outlineLevel="0" collapsed="false">
      <c r="B14" s="8" t="s">
        <v>16</v>
      </c>
      <c r="C14" s="5" t="s">
        <v>17</v>
      </c>
    </row>
    <row r="15" customFormat="false" ht="15" hidden="false" customHeight="true" outlineLevel="0" collapsed="false">
      <c r="B15" s="8" t="s">
        <v>18</v>
      </c>
      <c r="C15" s="5" t="s">
        <v>19</v>
      </c>
    </row>
    <row r="16" customFormat="false" ht="15" hidden="false" customHeight="true" outlineLevel="0" collapsed="false">
      <c r="B16" s="8" t="s">
        <v>20</v>
      </c>
      <c r="C16" s="5" t="s">
        <v>21</v>
      </c>
    </row>
    <row r="17" customFormat="false" ht="15" hidden="false" customHeight="true" outlineLevel="0" collapsed="false">
      <c r="B17" s="8" t="s">
        <v>22</v>
      </c>
      <c r="C17" s="5" t="s">
        <v>23</v>
      </c>
    </row>
    <row r="19" customFormat="false" ht="15" hidden="false" customHeight="false" outlineLevel="0" collapsed="false">
      <c r="B19" s="3" t="s">
        <v>24</v>
      </c>
      <c r="C19" s="3"/>
    </row>
    <row r="20" customFormat="false" ht="30" hidden="false" customHeight="true" outlineLevel="0" collapsed="false">
      <c r="C20" s="5" t="s">
        <v>25</v>
      </c>
    </row>
    <row r="21" customFormat="false" ht="30" hidden="false" customHeight="true" outlineLevel="0" collapsed="false">
      <c r="C21" s="5" t="s">
        <v>26</v>
      </c>
    </row>
    <row r="22" customFormat="false" ht="30" hidden="false" customHeight="true" outlineLevel="0" collapsed="false">
      <c r="C22" s="5" t="s">
        <v>27</v>
      </c>
    </row>
    <row r="23" customFormat="false" ht="30" hidden="false" customHeight="true" outlineLevel="0" collapsed="false">
      <c r="C23" s="5" t="s">
        <v>28</v>
      </c>
    </row>
    <row r="24" customFormat="false" ht="30" hidden="false" customHeight="true" outlineLevel="0" collapsed="false">
      <c r="C24" s="5" t="s">
        <v>29</v>
      </c>
    </row>
    <row r="25" customFormat="false" ht="30" hidden="false" customHeight="true" outlineLevel="0" collapsed="false">
      <c r="C25" s="5" t="s">
        <v>30</v>
      </c>
    </row>
    <row r="26" customFormat="false" ht="15" hidden="false" customHeight="true" outlineLevel="0" collapsed="false">
      <c r="C26" s="5" t="s">
        <v>31</v>
      </c>
    </row>
    <row r="27" customFormat="false" ht="15" hidden="false" customHeight="true" outlineLevel="0" collapsed="false">
      <c r="C27" s="5" t="s">
        <v>32</v>
      </c>
    </row>
    <row r="29" customFormat="false" ht="15" hidden="false" customHeight="false" outlineLevel="0" collapsed="false">
      <c r="B29" s="3" t="s">
        <v>33</v>
      </c>
      <c r="C29" s="3"/>
    </row>
    <row r="30" customFormat="false" ht="45" hidden="false" customHeight="true" outlineLevel="0" collapsed="false">
      <c r="C30" s="5" t="s">
        <v>34</v>
      </c>
    </row>
    <row r="31" customFormat="false" ht="45" hidden="false" customHeight="true" outlineLevel="0" collapsed="false">
      <c r="C31" s="5" t="s">
        <v>35</v>
      </c>
    </row>
    <row r="32" customFormat="false" ht="30" hidden="false" customHeight="true" outlineLevel="0" collapsed="false">
      <c r="C32" s="5" t="s">
        <v>36</v>
      </c>
    </row>
    <row r="33" customFormat="false" ht="30" hidden="false" customHeight="true" outlineLevel="0" collapsed="false">
      <c r="C33" s="5" t="s">
        <v>37</v>
      </c>
    </row>
    <row r="34" customFormat="false" ht="30" hidden="false" customHeight="true" outlineLevel="0" collapsed="false">
      <c r="C34" s="5" t="s">
        <v>38</v>
      </c>
    </row>
    <row r="36" customFormat="false" ht="15" hidden="false" customHeight="false" outlineLevel="0" collapsed="false">
      <c r="B36" s="3" t="s">
        <v>39</v>
      </c>
      <c r="C36" s="3"/>
    </row>
    <row r="37" customFormat="false" ht="30" hidden="false" customHeight="true" outlineLevel="0" collapsed="false">
      <c r="C37" s="5" t="s">
        <v>40</v>
      </c>
    </row>
    <row r="38" customFormat="false" ht="15" hidden="false" customHeight="true" outlineLevel="0" collapsed="false">
      <c r="C38" s="5" t="s">
        <v>41</v>
      </c>
    </row>
    <row r="39" customFormat="false" ht="15" hidden="false" customHeight="true" outlineLevel="0" collapsed="false">
      <c r="C39" s="5" t="s">
        <v>42</v>
      </c>
    </row>
    <row r="40" customFormat="false" ht="15" hidden="false" customHeight="true" outlineLevel="0" collapsed="false">
      <c r="C40" s="5" t="s">
        <v>43</v>
      </c>
    </row>
    <row r="42" customFormat="false" ht="15" hidden="false" customHeight="false" outlineLevel="0" collapsed="false">
      <c r="B42" s="3" t="s">
        <v>44</v>
      </c>
      <c r="C42" s="3"/>
    </row>
    <row r="43" customFormat="false" ht="15" hidden="false" customHeight="true" outlineLevel="0" collapsed="false">
      <c r="C43" s="5" t="s">
        <v>45</v>
      </c>
    </row>
    <row r="44" customFormat="false" ht="15" hidden="false" customHeight="true" outlineLevel="0" collapsed="false">
      <c r="C44" s="5" t="s">
        <v>46</v>
      </c>
    </row>
    <row r="45" customFormat="false" ht="15" hidden="false" customHeight="true" outlineLevel="0" collapsed="false">
      <c r="C45" s="5" t="s">
        <v>47</v>
      </c>
    </row>
    <row r="46" customFormat="false" ht="15" hidden="false" customHeight="true" outlineLevel="0" collapsed="false">
      <c r="C46" s="5" t="s">
        <v>48</v>
      </c>
    </row>
    <row r="47" customFormat="false" ht="15" hidden="false" customHeight="true" outlineLevel="0" collapsed="false">
      <c r="C47" s="5" t="s">
        <v>49</v>
      </c>
    </row>
    <row r="48" customFormat="false" ht="15" hidden="false" customHeight="true" outlineLevel="0" collapsed="false">
      <c r="C48" s="5" t="s">
        <v>50</v>
      </c>
    </row>
    <row r="50" customFormat="false" ht="15" hidden="false" customHeight="false" outlineLevel="0" collapsed="false">
      <c r="B50" s="3" t="s">
        <v>51</v>
      </c>
      <c r="C50" s="3"/>
    </row>
    <row r="51" customFormat="false" ht="60" hidden="false" customHeight="true" outlineLevel="0" collapsed="false">
      <c r="C51" s="5" t="s">
        <v>52</v>
      </c>
    </row>
    <row r="53" customFormat="false" ht="15" hidden="false" customHeight="false" outlineLevel="0" collapsed="false">
      <c r="B53" s="3" t="s">
        <v>53</v>
      </c>
      <c r="C53" s="3"/>
    </row>
    <row r="54" customFormat="false" ht="30" hidden="false" customHeight="true" outlineLevel="0" collapsed="false">
      <c r="B54" s="8" t="s">
        <v>54</v>
      </c>
      <c r="C54" s="5" t="s">
        <v>55</v>
      </c>
    </row>
    <row r="55" customFormat="false" ht="30" hidden="false" customHeight="true" outlineLevel="0" collapsed="false">
      <c r="B55" s="8" t="s">
        <v>56</v>
      </c>
      <c r="C55" s="5" t="s">
        <v>57</v>
      </c>
    </row>
    <row r="56" customFormat="false" ht="15" hidden="false" customHeight="true" outlineLevel="0" collapsed="false">
      <c r="B56" s="8" t="s">
        <v>58</v>
      </c>
      <c r="C56" s="5" t="s">
        <v>59</v>
      </c>
    </row>
    <row r="57" customFormat="false" ht="30" hidden="false" customHeight="true" outlineLevel="0" collapsed="false">
      <c r="B57" s="8" t="s">
        <v>60</v>
      </c>
      <c r="C57" s="5" t="s">
        <v>61</v>
      </c>
    </row>
    <row r="58" customFormat="false" ht="30" hidden="false" customHeight="true" outlineLevel="0" collapsed="false">
      <c r="B58" s="8" t="s">
        <v>62</v>
      </c>
      <c r="C58" s="5" t="s">
        <v>63</v>
      </c>
    </row>
    <row r="60" customFormat="false" ht="15" hidden="false" customHeight="false" outlineLevel="0" collapsed="false">
      <c r="B60" s="3" t="s">
        <v>64</v>
      </c>
      <c r="C60" s="3"/>
    </row>
    <row r="61" customFormat="false" ht="15" hidden="false" customHeight="true" outlineLevel="0" collapsed="false">
      <c r="C61" s="5" t="s">
        <v>65</v>
      </c>
    </row>
    <row r="62" customFormat="false" ht="15" hidden="false" customHeight="true" outlineLevel="0" collapsed="false">
      <c r="C62" s="5" t="s">
        <v>66</v>
      </c>
    </row>
    <row r="63" customFormat="false" ht="15" hidden="false" customHeight="true" outlineLevel="0" collapsed="false">
      <c r="C63" s="5" t="s">
        <v>67</v>
      </c>
    </row>
    <row r="64" customFormat="false" ht="15" hidden="false" customHeight="true" outlineLevel="0" collapsed="false">
      <c r="C64" s="5" t="s">
        <v>68</v>
      </c>
    </row>
    <row r="65" customFormat="false" ht="15" hidden="false" customHeight="true" outlineLevel="0" collapsed="false">
      <c r="C65" s="5" t="s">
        <v>69</v>
      </c>
    </row>
    <row r="66" customFormat="false" ht="15" hidden="false" customHeight="true" outlineLevel="0" collapsed="false">
      <c r="C66" s="5" t="s">
        <v>70</v>
      </c>
    </row>
    <row r="67" customFormat="false" ht="15" hidden="false" customHeight="true" outlineLevel="0" collapsed="false">
      <c r="C67" s="5" t="s">
        <v>71</v>
      </c>
    </row>
  </sheetData>
  <mergeCells count="10">
    <mergeCell ref="B2:C2"/>
    <mergeCell ref="B4:C4"/>
    <mergeCell ref="B9:C9"/>
    <mergeCell ref="B19:C19"/>
    <mergeCell ref="B29:C29"/>
    <mergeCell ref="B36:C36"/>
    <mergeCell ref="B42:C42"/>
    <mergeCell ref="B50:C50"/>
    <mergeCell ref="B53:C53"/>
    <mergeCell ref="B60:C60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2"/>
    <col collapsed="false" customWidth="true" hidden="false" outlineLevel="0" max="3" min="3" style="0" width="18"/>
    <col collapsed="false" customWidth="true" hidden="false" outlineLevel="0" max="4" min="4" style="0" width="78"/>
  </cols>
  <sheetData>
    <row r="1" customFormat="false" ht="17.35" hidden="false" customHeight="false" outlineLevel="0" collapsed="false">
      <c r="A1" s="9" t="s">
        <v>72</v>
      </c>
    </row>
    <row r="2" customFormat="false" ht="15" hidden="false" customHeight="false" outlineLevel="0" collapsed="false">
      <c r="A2" s="10" t="s">
        <v>73</v>
      </c>
    </row>
    <row r="3" customFormat="false" ht="15" hidden="false" customHeight="false" outlineLevel="0" collapsed="false">
      <c r="B3" s="3" t="s">
        <v>74</v>
      </c>
      <c r="C3" s="3"/>
      <c r="D3" s="3"/>
    </row>
    <row r="4" customFormat="false" ht="15" hidden="false" customHeight="false" outlineLevel="0" collapsed="false">
      <c r="B4" s="11" t="s">
        <v>75</v>
      </c>
      <c r="C4" s="12" t="s">
        <v>76</v>
      </c>
      <c r="D4" s="13" t="s">
        <v>77</v>
      </c>
    </row>
    <row r="5" customFormat="false" ht="15" hidden="false" customHeight="false" outlineLevel="0" collapsed="false">
      <c r="B5" s="11" t="s">
        <v>78</v>
      </c>
      <c r="C5" s="14" t="n">
        <v>2026</v>
      </c>
      <c r="D5" s="13" t="s">
        <v>79</v>
      </c>
    </row>
    <row r="6" customFormat="false" ht="15" hidden="false" customHeight="false" outlineLevel="0" collapsed="false">
      <c r="B6" s="11" t="s">
        <v>80</v>
      </c>
      <c r="C6" s="14" t="n">
        <v>10</v>
      </c>
      <c r="D6" s="13" t="s">
        <v>81</v>
      </c>
    </row>
    <row r="7" customFormat="false" ht="15" hidden="false" customHeight="false" outlineLevel="0" collapsed="false">
      <c r="B7" s="11" t="s">
        <v>82</v>
      </c>
      <c r="C7" s="14" t="n">
        <v>22</v>
      </c>
      <c r="D7" s="13" t="s">
        <v>83</v>
      </c>
    </row>
    <row r="8" customFormat="false" ht="15" hidden="false" customHeight="false" outlineLevel="0" collapsed="false">
      <c r="B8" s="11" t="s">
        <v>84</v>
      </c>
      <c r="C8" s="14" t="n">
        <v>11</v>
      </c>
      <c r="D8" s="13" t="s">
        <v>85</v>
      </c>
    </row>
    <row r="9" customFormat="false" ht="15" hidden="false" customHeight="false" outlineLevel="0" collapsed="false">
      <c r="B9" s="11" t="s">
        <v>86</v>
      </c>
      <c r="C9" s="15" t="n">
        <v>0.4</v>
      </c>
      <c r="D9" s="13" t="s">
        <v>87</v>
      </c>
    </row>
    <row r="10" customFormat="false" ht="15" hidden="false" customHeight="false" outlineLevel="0" collapsed="false">
      <c r="B10" s="11" t="s">
        <v>88</v>
      </c>
      <c r="C10" s="16" t="n">
        <v>1.5</v>
      </c>
      <c r="D10" s="13" t="s">
        <v>89</v>
      </c>
    </row>
    <row r="11" customFormat="false" ht="15" hidden="false" customHeight="false" outlineLevel="0" collapsed="false">
      <c r="B11" s="11" t="s">
        <v>90</v>
      </c>
      <c r="C11" s="14" t="n">
        <v>8</v>
      </c>
      <c r="D11" s="13" t="s">
        <v>91</v>
      </c>
    </row>
    <row r="13" customFormat="false" ht="15" hidden="false" customHeight="false" outlineLevel="0" collapsed="false">
      <c r="B13" s="3" t="s">
        <v>92</v>
      </c>
      <c r="C13" s="3"/>
      <c r="D13" s="3"/>
    </row>
    <row r="14" customFormat="false" ht="15" hidden="false" customHeight="false" outlineLevel="0" collapsed="false">
      <c r="B14" s="11" t="s">
        <v>93</v>
      </c>
      <c r="C14" s="17" t="n">
        <v>792000</v>
      </c>
      <c r="D14" s="13" t="s">
        <v>94</v>
      </c>
    </row>
    <row r="15" customFormat="false" ht="15" hidden="false" customHeight="false" outlineLevel="0" collapsed="false">
      <c r="B15" s="11" t="s">
        <v>95</v>
      </c>
      <c r="C15" s="14" t="n">
        <v>10</v>
      </c>
      <c r="D15" s="13" t="s">
        <v>96</v>
      </c>
    </row>
    <row r="16" customFormat="false" ht="15" hidden="false" customHeight="false" outlineLevel="0" collapsed="false">
      <c r="B16" s="11" t="s">
        <v>97</v>
      </c>
      <c r="C16" s="18" t="n">
        <f aca="false">C14*C15</f>
        <v>7920000</v>
      </c>
      <c r="D16" s="13" t="s">
        <v>98</v>
      </c>
    </row>
    <row r="17" customFormat="false" ht="15" hidden="false" customHeight="false" outlineLevel="0" collapsed="false">
      <c r="B17" s="11" t="s">
        <v>99</v>
      </c>
      <c r="C17" s="15" t="n">
        <v>0.085</v>
      </c>
      <c r="D17" s="13" t="s">
        <v>100</v>
      </c>
    </row>
    <row r="18" customFormat="false" ht="15" hidden="false" customHeight="false" outlineLevel="0" collapsed="false">
      <c r="B18" s="11" t="s">
        <v>101</v>
      </c>
      <c r="C18" s="15" t="n">
        <v>0.008</v>
      </c>
      <c r="D18" s="13" t="s">
        <v>100</v>
      </c>
    </row>
    <row r="19" customFormat="false" ht="15" hidden="false" customHeight="false" outlineLevel="0" collapsed="false">
      <c r="B19" s="11" t="s">
        <v>102</v>
      </c>
      <c r="C19" s="15" t="n">
        <v>0.002</v>
      </c>
      <c r="D19" s="13" t="s">
        <v>100</v>
      </c>
    </row>
    <row r="20" customFormat="false" ht="15" hidden="false" customHeight="false" outlineLevel="0" collapsed="false">
      <c r="B20" s="11" t="s">
        <v>103</v>
      </c>
      <c r="C20" s="19" t="n">
        <f aca="false">SUM(C17:C19)</f>
        <v>0.095</v>
      </c>
      <c r="D20" s="13"/>
    </row>
    <row r="21" customFormat="false" ht="15" hidden="false" customHeight="false" outlineLevel="0" collapsed="false">
      <c r="B21" s="11" t="s">
        <v>104</v>
      </c>
      <c r="C21" s="15" t="n">
        <v>0.02</v>
      </c>
      <c r="D21" s="13" t="s">
        <v>105</v>
      </c>
    </row>
    <row r="22" customFormat="false" ht="15" hidden="false" customHeight="false" outlineLevel="0" collapsed="false">
      <c r="B22" s="11" t="s">
        <v>106</v>
      </c>
      <c r="C22" s="15" t="n">
        <v>0.085</v>
      </c>
      <c r="D22" s="13" t="s">
        <v>100</v>
      </c>
    </row>
    <row r="23" customFormat="false" ht="15" hidden="false" customHeight="false" outlineLevel="0" collapsed="false">
      <c r="B23" s="11" t="s">
        <v>107</v>
      </c>
      <c r="C23" s="15" t="n">
        <v>0.01</v>
      </c>
      <c r="D23" s="13" t="s">
        <v>100</v>
      </c>
    </row>
    <row r="24" customFormat="false" ht="15" hidden="false" customHeight="false" outlineLevel="0" collapsed="false">
      <c r="B24" s="11" t="s">
        <v>108</v>
      </c>
      <c r="C24" s="15" t="n">
        <v>0.003</v>
      </c>
      <c r="D24" s="13" t="s">
        <v>109</v>
      </c>
    </row>
    <row r="25" customFormat="false" ht="15" hidden="false" customHeight="false" outlineLevel="0" collapsed="false">
      <c r="B25" s="11" t="s">
        <v>110</v>
      </c>
      <c r="C25" s="15" t="n">
        <v>0.006</v>
      </c>
      <c r="D25" s="13" t="s">
        <v>100</v>
      </c>
    </row>
    <row r="26" customFormat="false" ht="15" hidden="false" customHeight="false" outlineLevel="0" collapsed="false">
      <c r="B26" s="11" t="s">
        <v>111</v>
      </c>
      <c r="C26" s="19" t="n">
        <f aca="false">SUM(C22:C25)</f>
        <v>0.104</v>
      </c>
      <c r="D26" s="13"/>
    </row>
    <row r="27" customFormat="false" ht="15" hidden="false" customHeight="false" outlineLevel="0" collapsed="false">
      <c r="B27" s="11" t="s">
        <v>112</v>
      </c>
      <c r="C27" s="15" t="n">
        <v>0.02</v>
      </c>
      <c r="D27" s="13" t="s">
        <v>113</v>
      </c>
    </row>
    <row r="28" customFormat="false" ht="22.35" hidden="false" customHeight="false" outlineLevel="0" collapsed="false">
      <c r="B28" s="11" t="s">
        <v>114</v>
      </c>
      <c r="C28" s="20" t="n">
        <f aca="false">IF(C5&lt;=2027,0,IF(C5=2028,12,IF(C5=2029,11,10)))</f>
        <v>0</v>
      </c>
      <c r="D28" s="13" t="s">
        <v>115</v>
      </c>
    </row>
    <row r="29" customFormat="false" ht="15" hidden="false" customHeight="false" outlineLevel="0" collapsed="false">
      <c r="B29" s="11" t="s">
        <v>116</v>
      </c>
      <c r="C29" s="18" t="str">
        <f aca="false">IF(C28=0,"Хязгааргүй",C14*C28)</f>
        <v>Хязгааргүй</v>
      </c>
      <c r="D29" s="13"/>
    </row>
    <row r="31" customFormat="false" ht="15" hidden="false" customHeight="false" outlineLevel="0" collapsed="false">
      <c r="B31" s="3" t="s">
        <v>117</v>
      </c>
      <c r="C31" s="3"/>
      <c r="D31" s="3"/>
    </row>
    <row r="32" customFormat="false" ht="15" hidden="false" customHeight="false" outlineLevel="0" collapsed="false">
      <c r="B32" s="11" t="s">
        <v>118</v>
      </c>
      <c r="C32" s="21" t="str">
        <f aca="false">IF(C5&lt;=2026,"2026",IF(C5=2027,"2027","2028+"))</f>
        <v>2026</v>
      </c>
      <c r="D32" s="13" t="s">
        <v>119</v>
      </c>
    </row>
    <row r="33" customFormat="false" ht="15" hidden="false" customHeight="false" outlineLevel="0" collapsed="false">
      <c r="B33" s="11" t="s">
        <v>120</v>
      </c>
      <c r="C33" s="21" t="str">
        <f aca="false">IF(C32="2026","Тийм","Үгүй — 2027 оноос хүчингүй")</f>
        <v>Тийм</v>
      </c>
      <c r="D33" s="13" t="s">
        <v>121</v>
      </c>
    </row>
  </sheetData>
  <dataValidations count="4">
    <dataValidation allowBlank="false" error="2024–2040 хооронд он оруулна уу" errorStyle="stop" operator="between" showDropDown="false" showErrorMessage="true" showInputMessage="false" sqref="C5" type="whole">
      <formula1>2024</formula1>
      <formula2>2040</formula2>
    </dataValidation>
    <dataValidation allowBlank="false" error="1–12 хооронд сар оруулна уу" errorStyle="stop" operator="between" showDropDown="false" showErrorMessage="true" showInputMessage="false" sqref="C6" type="whole">
      <formula1>1</formula1>
      <formula2>12</formula2>
    </dataValidation>
    <dataValidation allowBlank="false" errorStyle="stop" operator="between" showDropDown="false" showErrorMessage="true" showInputMessage="false" sqref="C7:C8" type="whole">
      <formula1>1</formula1>
      <formula2>31</formula2>
    </dataValidation>
    <dataValidation allowBlank="false" error="0%–100% хооронд" errorStyle="stop" operator="between" showDropDown="false" showErrorMessage="true" showInputMessage="false" sqref="C9" type="decimal">
      <formula1>0</formula1>
      <formula2>1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7"/>
    <col collapsed="false" customWidth="true" hidden="false" outlineLevel="0" max="3" min="3" style="0" width="9"/>
    <col collapsed="false" customWidth="true" hidden="false" outlineLevel="0" max="4" min="4" style="0" width="14"/>
    <col collapsed="false" customWidth="true" hidden="false" outlineLevel="0" max="5" min="5" style="0" width="3"/>
    <col collapsed="false" customWidth="true" hidden="false" outlineLevel="0" max="6" min="6" style="0" width="17"/>
    <col collapsed="false" customWidth="true" hidden="false" outlineLevel="0" max="7" min="7" style="0" width="9"/>
    <col collapsed="false" customWidth="true" hidden="false" outlineLevel="0" max="8" min="8" style="0" width="14"/>
    <col collapsed="false" customWidth="true" hidden="false" outlineLevel="0" max="9" min="9" style="0" width="3"/>
    <col collapsed="false" customWidth="true" hidden="false" outlineLevel="0" max="10" min="10" style="0" width="17"/>
    <col collapsed="false" customWidth="true" hidden="false" outlineLevel="0" max="11" min="11" style="0" width="9"/>
    <col collapsed="false" customWidth="true" hidden="false" outlineLevel="0" max="12" min="12" style="0" width="14"/>
    <col collapsed="false" customWidth="true" hidden="false" outlineLevel="0" max="13" min="13" style="0" width="3"/>
    <col collapsed="false" customWidth="true" hidden="false" outlineLevel="0" max="14" min="14" style="0" width="17"/>
    <col collapsed="false" customWidth="true" hidden="false" outlineLevel="0" max="15" min="15" style="0" width="9"/>
    <col collapsed="false" customWidth="true" hidden="false" outlineLevel="0" max="16" min="16" style="0" width="14"/>
  </cols>
  <sheetData>
    <row r="1" customFormat="false" ht="17.35" hidden="false" customHeight="false" outlineLevel="0" collapsed="false">
      <c r="A1" s="9" t="s">
        <v>122</v>
      </c>
    </row>
    <row r="2" customFormat="false" ht="15" hidden="false" customHeight="false" outlineLevel="0" collapsed="false">
      <c r="A2" s="10" t="s">
        <v>123</v>
      </c>
    </row>
    <row r="4" customFormat="false" ht="15" hidden="false" customHeight="true" outlineLevel="0" collapsed="false">
      <c r="B4" s="22" t="s">
        <v>124</v>
      </c>
      <c r="C4" s="22"/>
      <c r="D4" s="22"/>
      <c r="F4" s="22" t="s">
        <v>125</v>
      </c>
      <c r="G4" s="22"/>
      <c r="H4" s="22"/>
      <c r="J4" s="22" t="s">
        <v>126</v>
      </c>
      <c r="K4" s="22"/>
      <c r="L4" s="22"/>
      <c r="N4" s="23" t="s">
        <v>127</v>
      </c>
      <c r="O4" s="23"/>
      <c r="P4" s="23"/>
    </row>
    <row r="5" customFormat="false" ht="15" hidden="false" customHeight="false" outlineLevel="0" collapsed="false">
      <c r="B5" s="24" t="s">
        <v>128</v>
      </c>
      <c r="C5" s="24" t="s">
        <v>129</v>
      </c>
      <c r="D5" s="24" t="s">
        <v>130</v>
      </c>
      <c r="F5" s="24" t="s">
        <v>128</v>
      </c>
      <c r="G5" s="24" t="s">
        <v>129</v>
      </c>
      <c r="H5" s="24" t="s">
        <v>130</v>
      </c>
      <c r="J5" s="24" t="s">
        <v>128</v>
      </c>
      <c r="K5" s="24" t="s">
        <v>129</v>
      </c>
      <c r="L5" s="24" t="s">
        <v>130</v>
      </c>
      <c r="N5" s="24" t="s">
        <v>128</v>
      </c>
      <c r="O5" s="24" t="s">
        <v>129</v>
      </c>
      <c r="P5" s="24" t="s">
        <v>130</v>
      </c>
    </row>
    <row r="6" customFormat="false" ht="15" hidden="false" customHeight="false" outlineLevel="0" collapsed="false">
      <c r="B6" s="17" t="n">
        <v>0</v>
      </c>
      <c r="C6" s="15" t="n">
        <v>0.1</v>
      </c>
      <c r="D6" s="18" t="n">
        <v>0</v>
      </c>
      <c r="F6" s="17" t="n">
        <v>0</v>
      </c>
      <c r="G6" s="15" t="n">
        <v>0</v>
      </c>
      <c r="H6" s="18" t="n">
        <v>0</v>
      </c>
      <c r="J6" s="17" t="n">
        <v>0</v>
      </c>
      <c r="K6" s="15" t="n">
        <v>0</v>
      </c>
      <c r="L6" s="18" t="n">
        <v>0</v>
      </c>
      <c r="N6" s="25" t="n">
        <f aca="false">IF(Тохиргоо!$C$32="2026",B6,IF(Тохиргоо!$C$32="2027",F6,J6))</f>
        <v>0</v>
      </c>
      <c r="O6" s="26" t="n">
        <f aca="false">IF(Тохиргоо!$C$32="2026",C6,IF(Тохиргоо!$C$32="2027",G6,K6))</f>
        <v>0.1</v>
      </c>
      <c r="P6" s="25" t="n">
        <f aca="false">IF(Тохиргоо!$C$32="2026",D6,IF(Тохиргоо!$C$32="2027",H6,L6))</f>
        <v>0</v>
      </c>
    </row>
    <row r="7" customFormat="false" ht="15" hidden="false" customHeight="false" outlineLevel="0" collapsed="false">
      <c r="B7" s="17" t="n">
        <v>10000000</v>
      </c>
      <c r="C7" s="15" t="n">
        <v>0.15</v>
      </c>
      <c r="D7" s="18" t="n">
        <f aca="false">D6+(B7-B6)*C6</f>
        <v>1000000</v>
      </c>
      <c r="F7" s="17" t="n">
        <v>792000</v>
      </c>
      <c r="G7" s="15" t="n">
        <v>0.1</v>
      </c>
      <c r="H7" s="18" t="n">
        <f aca="false">H6+(F7-F6)*G6</f>
        <v>0</v>
      </c>
      <c r="J7" s="17" t="n">
        <v>792000</v>
      </c>
      <c r="K7" s="15" t="n">
        <v>0.01</v>
      </c>
      <c r="L7" s="18" t="n">
        <f aca="false">L6+(J7-J6)*K6</f>
        <v>0</v>
      </c>
      <c r="N7" s="25" t="n">
        <f aca="false">IF(Тохиргоо!$C$32="2026",B7,IF(Тохиргоо!$C$32="2027",F7,J7))</f>
        <v>10000000</v>
      </c>
      <c r="O7" s="26" t="n">
        <f aca="false">IF(Тохиргоо!$C$32="2026",C7,IF(Тохиргоо!$C$32="2027",G7,K7))</f>
        <v>0.15</v>
      </c>
      <c r="P7" s="25" t="n">
        <f aca="false">IF(Тохиргоо!$C$32="2026",D7,IF(Тохиргоо!$C$32="2027",H7,L7))</f>
        <v>1000000</v>
      </c>
    </row>
    <row r="8" customFormat="false" ht="15" hidden="false" customHeight="false" outlineLevel="0" collapsed="false">
      <c r="B8" s="17" t="n">
        <v>15000000</v>
      </c>
      <c r="C8" s="15" t="n">
        <v>0.2</v>
      </c>
      <c r="D8" s="18" t="n">
        <f aca="false">D7+(B8-B7)*C7</f>
        <v>1750000</v>
      </c>
      <c r="F8" s="17" t="n">
        <v>10000000</v>
      </c>
      <c r="G8" s="15" t="n">
        <v>0.15</v>
      </c>
      <c r="H8" s="18" t="n">
        <f aca="false">H7+(F8-F7)*G7</f>
        <v>920800</v>
      </c>
      <c r="J8" s="17" t="n">
        <v>2000000</v>
      </c>
      <c r="K8" s="15" t="n">
        <v>0.1</v>
      </c>
      <c r="L8" s="18" t="n">
        <f aca="false">L7+(J8-J7)*K7</f>
        <v>12080</v>
      </c>
      <c r="N8" s="25" t="n">
        <f aca="false">IF(Тохиргоо!$C$32="2026",B8,IF(Тохиргоо!$C$32="2027",F8,J8))</f>
        <v>15000000</v>
      </c>
      <c r="O8" s="26" t="n">
        <f aca="false">IF(Тохиргоо!$C$32="2026",C8,IF(Тохиргоо!$C$32="2027",G8,K8))</f>
        <v>0.2</v>
      </c>
      <c r="P8" s="25" t="n">
        <f aca="false">IF(Тохиргоо!$C$32="2026",D8,IF(Тохиргоо!$C$32="2027",H8,L8))</f>
        <v>1750000</v>
      </c>
    </row>
    <row r="9" customFormat="false" ht="15" hidden="false" customHeight="false" outlineLevel="0" collapsed="false">
      <c r="B9" s="27" t="n">
        <v>999999999999</v>
      </c>
      <c r="C9" s="28" t="n">
        <v>0.2</v>
      </c>
      <c r="D9" s="29" t="n">
        <f aca="false">D8+(B9-B8)*C8</f>
        <v>199998749999.8</v>
      </c>
      <c r="F9" s="17" t="n">
        <v>15000000</v>
      </c>
      <c r="G9" s="15" t="n">
        <v>0.2</v>
      </c>
      <c r="H9" s="18" t="n">
        <f aca="false">H8+(F9-F8)*G8</f>
        <v>1670800</v>
      </c>
      <c r="J9" s="17" t="n">
        <v>10000000</v>
      </c>
      <c r="K9" s="15" t="n">
        <v>0.15</v>
      </c>
      <c r="L9" s="18" t="n">
        <f aca="false">L8+(J9-J8)*K8</f>
        <v>812080</v>
      </c>
      <c r="N9" s="25" t="n">
        <f aca="false">IF(Тохиргоо!$C$32="2026",B9,IF(Тохиргоо!$C$32="2027",F9,J9))</f>
        <v>999999999999</v>
      </c>
      <c r="O9" s="26" t="n">
        <f aca="false">IF(Тохиргоо!$C$32="2026",C9,IF(Тохиргоо!$C$32="2027",G9,K9))</f>
        <v>0.2</v>
      </c>
      <c r="P9" s="25" t="n">
        <f aca="false">IF(Тохиргоо!$C$32="2026",D9,IF(Тохиргоо!$C$32="2027",H9,L9))</f>
        <v>199998749999.8</v>
      </c>
    </row>
    <row r="10" customFormat="false" ht="15" hidden="false" customHeight="false" outlineLevel="0" collapsed="false">
      <c r="B10" s="27" t="n">
        <v>999999999999</v>
      </c>
      <c r="C10" s="28" t="n">
        <v>0.2</v>
      </c>
      <c r="D10" s="29" t="n">
        <f aca="false">D9+(B10-B9)*C9</f>
        <v>199998749999.8</v>
      </c>
      <c r="F10" s="27" t="n">
        <v>999999999999</v>
      </c>
      <c r="G10" s="28" t="n">
        <v>0.2</v>
      </c>
      <c r="H10" s="29" t="n">
        <f aca="false">H9+(F10-F9)*G9</f>
        <v>199998670799.8</v>
      </c>
      <c r="J10" s="17" t="n">
        <v>15000000</v>
      </c>
      <c r="K10" s="15" t="n">
        <v>0.2</v>
      </c>
      <c r="L10" s="18" t="n">
        <f aca="false">L9+(J10-J9)*K9</f>
        <v>1562080</v>
      </c>
      <c r="N10" s="25" t="n">
        <f aca="false">IF(Тохиргоо!$C$32="2026",B10,IF(Тохиргоо!$C$32="2027",F10,J10))</f>
        <v>999999999999</v>
      </c>
      <c r="O10" s="26" t="n">
        <f aca="false">IF(Тохиргоо!$C$32="2026",C10,IF(Тохиргоо!$C$32="2027",G10,K10))</f>
        <v>0.2</v>
      </c>
      <c r="P10" s="25" t="n">
        <f aca="false">IF(Тохиргоо!$C$32="2026",D10,IF(Тохиргоо!$C$32="2027",H10,L10))</f>
        <v>199998749999.8</v>
      </c>
    </row>
    <row r="11" customFormat="false" ht="15" hidden="false" customHeight="true" outlineLevel="0" collapsed="false">
      <c r="B11" s="30" t="s">
        <v>131</v>
      </c>
      <c r="C11" s="30"/>
      <c r="D11" s="30"/>
      <c r="F11" s="30" t="s">
        <v>132</v>
      </c>
      <c r="G11" s="30"/>
      <c r="H11" s="30"/>
      <c r="J11" s="30" t="s">
        <v>133</v>
      </c>
      <c r="K11" s="30"/>
      <c r="L11" s="30"/>
      <c r="N11" s="31" t="str">
        <f aca="false">"Горим: "&amp;Тохиргоо!$C$32</f>
        <v>Горим: 2026</v>
      </c>
      <c r="O11" s="31"/>
      <c r="P11" s="31"/>
    </row>
    <row r="12" customFormat="false" ht="15" hidden="false" customHeight="false" outlineLevel="0" collapsed="false">
      <c r="B12" s="30"/>
      <c r="C12" s="30"/>
      <c r="D12" s="30"/>
      <c r="F12" s="30"/>
      <c r="G12" s="30"/>
      <c r="H12" s="30"/>
      <c r="J12" s="30"/>
      <c r="K12" s="30"/>
      <c r="L12" s="30"/>
    </row>
    <row r="13" customFormat="false" ht="15" hidden="false" customHeight="false" outlineLevel="0" collapsed="false">
      <c r="B13" s="32" t="s">
        <v>134</v>
      </c>
    </row>
    <row r="15" customFormat="false" ht="15" hidden="false" customHeight="true" outlineLevel="0" collapsed="false">
      <c r="B15" s="22" t="s">
        <v>135</v>
      </c>
      <c r="C15" s="22"/>
      <c r="D15" s="22"/>
      <c r="E15" s="22"/>
      <c r="F15" s="22"/>
      <c r="G15" s="22"/>
      <c r="H15" s="22"/>
    </row>
    <row r="16" customFormat="false" ht="42" hidden="false" customHeight="true" outlineLevel="0" collapsed="false">
      <c r="B16" s="24" t="s">
        <v>136</v>
      </c>
      <c r="C16" s="24" t="s">
        <v>137</v>
      </c>
      <c r="D16" s="24"/>
      <c r="E16" s="24"/>
      <c r="F16" s="24" t="s">
        <v>138</v>
      </c>
      <c r="G16" s="24" t="s">
        <v>139</v>
      </c>
      <c r="H16" s="24"/>
    </row>
    <row r="17" customFormat="false" ht="15" hidden="false" customHeight="false" outlineLevel="0" collapsed="false">
      <c r="B17" s="18" t="n">
        <f aca="false">IF(F17&gt;=999999999999,F17,F17/12)</f>
        <v>500000</v>
      </c>
      <c r="C17" s="18" t="n">
        <f aca="false">G17/12</f>
        <v>20000</v>
      </c>
      <c r="F17" s="17" t="n">
        <v>6000000</v>
      </c>
      <c r="G17" s="17" t="n">
        <v>240000</v>
      </c>
    </row>
    <row r="18" customFormat="false" ht="15" hidden="false" customHeight="false" outlineLevel="0" collapsed="false">
      <c r="B18" s="18" t="n">
        <f aca="false">IF(F18&gt;=999999999999,F18,F18/12)</f>
        <v>1000000</v>
      </c>
      <c r="C18" s="18" t="n">
        <f aca="false">G18/12</f>
        <v>18000</v>
      </c>
      <c r="F18" s="17" t="n">
        <v>12000000</v>
      </c>
      <c r="G18" s="17" t="n">
        <v>216000</v>
      </c>
    </row>
    <row r="19" customFormat="false" ht="15" hidden="false" customHeight="false" outlineLevel="0" collapsed="false">
      <c r="B19" s="18" t="n">
        <f aca="false">IF(F19&gt;=999999999999,F19,F19/12)</f>
        <v>1500000</v>
      </c>
      <c r="C19" s="18" t="n">
        <f aca="false">G19/12</f>
        <v>16000</v>
      </c>
      <c r="F19" s="17" t="n">
        <v>18000000</v>
      </c>
      <c r="G19" s="17" t="n">
        <v>192000</v>
      </c>
    </row>
    <row r="20" customFormat="false" ht="15" hidden="false" customHeight="false" outlineLevel="0" collapsed="false">
      <c r="B20" s="18" t="n">
        <f aca="false">IF(F20&gt;=999999999999,F20,F20/12)</f>
        <v>2000000</v>
      </c>
      <c r="C20" s="18" t="n">
        <f aca="false">G20/12</f>
        <v>14000</v>
      </c>
      <c r="F20" s="17" t="n">
        <v>24000000</v>
      </c>
      <c r="G20" s="17" t="n">
        <v>168000</v>
      </c>
    </row>
    <row r="21" customFormat="false" ht="15" hidden="false" customHeight="false" outlineLevel="0" collapsed="false">
      <c r="B21" s="18" t="n">
        <f aca="false">IF(F21&gt;=999999999999,F21,F21/12)</f>
        <v>2500000</v>
      </c>
      <c r="C21" s="18" t="n">
        <f aca="false">G21/12</f>
        <v>12000</v>
      </c>
      <c r="F21" s="17" t="n">
        <v>30000000</v>
      </c>
      <c r="G21" s="17" t="n">
        <v>144000</v>
      </c>
    </row>
    <row r="22" customFormat="false" ht="15" hidden="false" customHeight="false" outlineLevel="0" collapsed="false">
      <c r="B22" s="18" t="n">
        <f aca="false">IF(F22&gt;=999999999999,F22,F22/12)</f>
        <v>3000000</v>
      </c>
      <c r="C22" s="18" t="n">
        <f aca="false">G22/12</f>
        <v>10000</v>
      </c>
      <c r="F22" s="17" t="n">
        <v>36000000</v>
      </c>
      <c r="G22" s="17" t="n">
        <v>120000</v>
      </c>
    </row>
    <row r="23" customFormat="false" ht="15" hidden="false" customHeight="false" outlineLevel="0" collapsed="false">
      <c r="B23" s="18" t="n">
        <f aca="false">IF(F23&gt;=999999999999,F23,F23/12)</f>
        <v>999999999999</v>
      </c>
      <c r="C23" s="18" t="n">
        <f aca="false">G23/12</f>
        <v>0</v>
      </c>
      <c r="F23" s="27" t="n">
        <v>999999999999</v>
      </c>
      <c r="G23" s="17" t="n">
        <v>0</v>
      </c>
    </row>
    <row r="24" customFormat="false" ht="15" hidden="false" customHeight="true" outlineLevel="0" collapsed="false">
      <c r="B24" s="30" t="s">
        <v>140</v>
      </c>
      <c r="C24" s="30"/>
      <c r="D24" s="30"/>
      <c r="E24" s="30"/>
      <c r="F24" s="30"/>
      <c r="G24" s="30"/>
      <c r="H24" s="30"/>
    </row>
    <row r="25" customFormat="false" ht="15" hidden="false" customHeight="false" outlineLevel="0" collapsed="false">
      <c r="B25" s="30"/>
      <c r="C25" s="30"/>
      <c r="D25" s="30"/>
      <c r="E25" s="30"/>
      <c r="F25" s="30"/>
      <c r="G25" s="30"/>
      <c r="H25" s="30"/>
    </row>
  </sheetData>
  <mergeCells count="10">
    <mergeCell ref="B4:D4"/>
    <mergeCell ref="F4:H4"/>
    <mergeCell ref="J4:L4"/>
    <mergeCell ref="N4:P4"/>
    <mergeCell ref="B11:D12"/>
    <mergeCell ref="F11:H12"/>
    <mergeCell ref="J11:L12"/>
    <mergeCell ref="N11:P11"/>
    <mergeCell ref="B15:H15"/>
    <mergeCell ref="B24:H25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3" min="2" style="0" width="14"/>
    <col collapsed="false" customWidth="true" hidden="false" outlineLevel="0" max="4" min="4" style="0" width="16"/>
    <col collapsed="false" customWidth="true" hidden="false" outlineLevel="0" max="5" min="5" style="0" width="18"/>
    <col collapsed="false" customWidth="true" hidden="false" outlineLevel="0" max="6" min="6" style="0" width="30"/>
    <col collapsed="false" customWidth="true" hidden="false" outlineLevel="0" max="7" min="7" style="0" width="15"/>
    <col collapsed="false" customWidth="true" hidden="false" outlineLevel="0" max="9" min="8" style="0" width="13"/>
    <col collapsed="false" customWidth="true" hidden="false" outlineLevel="0" max="11" min="10" style="0" width="15"/>
    <col collapsed="false" customWidth="true" hidden="false" outlineLevel="0" max="12" min="12" style="0" width="34"/>
    <col collapsed="false" customWidth="true" hidden="true" outlineLevel="0" max="13" min="13" style="0" width="30"/>
    <col collapsed="false" customWidth="true" hidden="true" outlineLevel="0" max="14" min="14" style="0" width="20"/>
  </cols>
  <sheetData>
    <row r="1" customFormat="false" ht="17.35" hidden="false" customHeight="false" outlineLevel="0" collapsed="false">
      <c r="A1" s="9" t="s">
        <v>141</v>
      </c>
    </row>
    <row r="2" customFormat="false" ht="15" hidden="false" customHeight="false" outlineLevel="0" collapsed="false">
      <c r="A2" s="10" t="s">
        <v>142</v>
      </c>
    </row>
    <row r="4" customFormat="false" ht="45" hidden="false" customHeight="true" outlineLevel="0" collapsed="false">
      <c r="A4" s="22" t="s">
        <v>143</v>
      </c>
      <c r="B4" s="22" t="s">
        <v>144</v>
      </c>
      <c r="C4" s="22" t="s">
        <v>145</v>
      </c>
      <c r="D4" s="22" t="s">
        <v>146</v>
      </c>
      <c r="E4" s="22" t="s">
        <v>147</v>
      </c>
      <c r="F4" s="22" t="s">
        <v>148</v>
      </c>
      <c r="G4" s="22" t="s">
        <v>149</v>
      </c>
      <c r="H4" s="22" t="s">
        <v>150</v>
      </c>
      <c r="I4" s="22" t="s">
        <v>151</v>
      </c>
      <c r="J4" s="22" t="s">
        <v>152</v>
      </c>
      <c r="K4" s="22" t="s">
        <v>153</v>
      </c>
      <c r="L4" s="22" t="s">
        <v>154</v>
      </c>
      <c r="M4" s="22" t="s">
        <v>155</v>
      </c>
      <c r="N4" s="22" t="s">
        <v>156</v>
      </c>
    </row>
    <row r="5" customFormat="false" ht="15" hidden="false" customHeight="false" outlineLevel="0" collapsed="false">
      <c r="A5" s="33" t="n">
        <v>1</v>
      </c>
      <c r="B5" s="34" t="s">
        <v>157</v>
      </c>
      <c r="C5" s="34" t="s">
        <v>158</v>
      </c>
      <c r="D5" s="34" t="s">
        <v>159</v>
      </c>
      <c r="E5" s="35" t="str">
        <f aca="false">IF(TRIM($D5)="","",IF($M5="#ERR","Холболтгүй",IF(ISNUMBER(--LEFT($N5,MIN(FIND(",",$N5&amp;","),FIND("}",$N5&amp;"}"))-1)),LEFT($N5,MIN(FIND(",",$N5&amp;","),FIND("}",$N5&amp;"}"))-1),"Олдсонгүй")))</f>
        <v>Холболтгүй</v>
      </c>
      <c r="F5" s="34" t="s">
        <v>160</v>
      </c>
      <c r="G5" s="36" t="n">
        <v>8500000</v>
      </c>
      <c r="H5" s="37" t="n">
        <v>0.1</v>
      </c>
      <c r="I5" s="37" t="n">
        <v>0.05</v>
      </c>
      <c r="J5" s="36" t="n">
        <v>0</v>
      </c>
      <c r="K5" s="4" t="s">
        <v>161</v>
      </c>
      <c r="L5" s="34" t="s">
        <v>162</v>
      </c>
      <c r="M5" s="38" t="str">
        <f aca="false">IF(TRIM($D5)="","",IFERROR(_xlfn.WEBSERVICE("https://api.ebarimt.mn/api/info/check/getTinInfo?regNo="&amp;_xlfn.ENCODEURL(UPPER(TRIM($D5)))),"#ERR"))</f>
        <v>#ERR</v>
      </c>
      <c r="N5" s="38" t="str">
        <f aca="false">IF(OR($M5="",$M5="#ERR"),"",IFERROR(SUBSTITUTE(SUBSTITUTE(MID($M5,SEARCH("""data"":",$M5)+7,40),"""","")," ",""),""))</f>
        <v/>
      </c>
    </row>
    <row r="6" customFormat="false" ht="15" hidden="false" customHeight="false" outlineLevel="0" collapsed="false">
      <c r="A6" s="33" t="n">
        <v>2</v>
      </c>
      <c r="B6" s="34" t="s">
        <v>163</v>
      </c>
      <c r="C6" s="34" t="s">
        <v>164</v>
      </c>
      <c r="D6" s="34" t="s">
        <v>165</v>
      </c>
      <c r="E6" s="35" t="str">
        <f aca="false">IF(TRIM($D6)="","",IF($M6="#ERR","Холболтгүй",IF(ISNUMBER(--LEFT($N6,MIN(FIND(",",$N6&amp;","),FIND("}",$N6&amp;"}"))-1)),LEFT($N6,MIN(FIND(",",$N6&amp;","),FIND("}",$N6&amp;"}"))-1),"Олдсонгүй")))</f>
        <v>Холболтгүй</v>
      </c>
      <c r="F6" s="34" t="s">
        <v>166</v>
      </c>
      <c r="G6" s="36" t="n">
        <v>3200000</v>
      </c>
      <c r="H6" s="37" t="n">
        <v>0.1</v>
      </c>
      <c r="I6" s="37" t="n">
        <v>0.05</v>
      </c>
      <c r="J6" s="36" t="n">
        <v>120000</v>
      </c>
      <c r="K6" s="4" t="s">
        <v>161</v>
      </c>
      <c r="L6" s="34"/>
      <c r="M6" s="38" t="str">
        <f aca="false">IF(TRIM($D6)="","",IFERROR(_xlfn.WEBSERVICE("https://api.ebarimt.mn/api/info/check/getTinInfo?regNo="&amp;_xlfn.ENCODEURL(UPPER(TRIM($D6)))),"#ERR"))</f>
        <v>#ERR</v>
      </c>
      <c r="N6" s="38" t="str">
        <f aca="false">IF(OR($M6="",$M6="#ERR"),"",IFERROR(SUBSTITUTE(SUBSTITUTE(MID($M6,SEARCH("""data"":",$M6)+7,40),"""","")," ",""),""))</f>
        <v/>
      </c>
    </row>
    <row r="7" customFormat="false" ht="15" hidden="false" customHeight="false" outlineLevel="0" collapsed="false">
      <c r="A7" s="33" t="n">
        <v>3</v>
      </c>
      <c r="B7" s="34" t="s">
        <v>167</v>
      </c>
      <c r="C7" s="34" t="s">
        <v>168</v>
      </c>
      <c r="D7" s="34" t="s">
        <v>169</v>
      </c>
      <c r="E7" s="35" t="str">
        <f aca="false">IF(TRIM($D7)="","",IF($M7="#ERR","Холболтгүй",IF(ISNUMBER(--LEFT($N7,MIN(FIND(",",$N7&amp;","),FIND("}",$N7&amp;"}"))-1)),LEFT($N7,MIN(FIND(",",$N7&amp;","),FIND("}",$N7&amp;"}"))-1),"Олдсонгүй")))</f>
        <v>Холболтгүй</v>
      </c>
      <c r="F7" s="34" t="s">
        <v>170</v>
      </c>
      <c r="G7" s="36" t="n">
        <v>2400000</v>
      </c>
      <c r="H7" s="37" t="n">
        <v>0.05</v>
      </c>
      <c r="I7" s="37" t="n">
        <v>0.03</v>
      </c>
      <c r="J7" s="36" t="n">
        <v>120000</v>
      </c>
      <c r="K7" s="4" t="s">
        <v>161</v>
      </c>
      <c r="L7" s="34"/>
      <c r="M7" s="38" t="str">
        <f aca="false">IF(TRIM($D7)="","",IFERROR(_xlfn.WEBSERVICE("https://api.ebarimt.mn/api/info/check/getTinInfo?regNo="&amp;_xlfn.ENCODEURL(UPPER(TRIM($D7)))),"#ERR"))</f>
        <v>#ERR</v>
      </c>
      <c r="N7" s="38" t="str">
        <f aca="false">IF(OR($M7="",$M7="#ERR"),"",IFERROR(SUBSTITUTE(SUBSTITUTE(MID($M7,SEARCH("""data"":",$M7)+7,40),"""","")," ",""),""))</f>
        <v/>
      </c>
    </row>
    <row r="8" customFormat="false" ht="15" hidden="false" customHeight="false" outlineLevel="0" collapsed="false">
      <c r="A8" s="33" t="n">
        <v>4</v>
      </c>
      <c r="B8" s="34" t="s">
        <v>171</v>
      </c>
      <c r="C8" s="34" t="s">
        <v>172</v>
      </c>
      <c r="D8" s="34" t="s">
        <v>173</v>
      </c>
      <c r="E8" s="35" t="str">
        <f aca="false">IF(TRIM($D8)="","",IF($M8="#ERR","Холболтгүй",IF(ISNUMBER(--LEFT($N8,MIN(FIND(",",$N8&amp;","),FIND("}",$N8&amp;"}"))-1)),LEFT($N8,MIN(FIND(",",$N8&amp;","),FIND("}",$N8&amp;"}"))-1),"Олдсонгүй")))</f>
        <v>Холболтгүй</v>
      </c>
      <c r="F8" s="34" t="s">
        <v>174</v>
      </c>
      <c r="G8" s="36" t="n">
        <v>1900000</v>
      </c>
      <c r="H8" s="37" t="n">
        <v>0.05</v>
      </c>
      <c r="I8" s="37" t="n">
        <v>0.03</v>
      </c>
      <c r="J8" s="36" t="n">
        <v>120000</v>
      </c>
      <c r="K8" s="4" t="s">
        <v>161</v>
      </c>
      <c r="L8" s="34"/>
      <c r="M8" s="38" t="str">
        <f aca="false">IF(TRIM($D8)="","",IFERROR(_xlfn.WEBSERVICE("https://api.ebarimt.mn/api/info/check/getTinInfo?regNo="&amp;_xlfn.ENCODEURL(UPPER(TRIM($D8)))),"#ERR"))</f>
        <v>#ERR</v>
      </c>
      <c r="N8" s="38" t="str">
        <f aca="false">IF(OR($M8="",$M8="#ERR"),"",IFERROR(SUBSTITUTE(SUBSTITUTE(MID($M8,SEARCH("""data"":",$M8)+7,40),"""","")," ",""),""))</f>
        <v/>
      </c>
    </row>
    <row r="9" customFormat="false" ht="15" hidden="false" customHeight="false" outlineLevel="0" collapsed="false">
      <c r="A9" s="33" t="n">
        <v>5</v>
      </c>
      <c r="B9" s="34" t="s">
        <v>175</v>
      </c>
      <c r="C9" s="34" t="s">
        <v>176</v>
      </c>
      <c r="D9" s="34" t="s">
        <v>177</v>
      </c>
      <c r="E9" s="35" t="str">
        <f aca="false">IF(TRIM($D9)="","",IF($M9="#ERR","Холболтгүй",IF(ISNUMBER(--LEFT($N9,MIN(FIND(",",$N9&amp;","),FIND("}",$N9&amp;"}"))-1)),LEFT($N9,MIN(FIND(",",$N9&amp;","),FIND("}",$N9&amp;"}"))-1),"Олдсонгүй")))</f>
        <v>Холболтгүй</v>
      </c>
      <c r="F9" s="34" t="s">
        <v>178</v>
      </c>
      <c r="G9" s="36" t="n">
        <v>1600000</v>
      </c>
      <c r="H9" s="37" t="n">
        <v>0</v>
      </c>
      <c r="I9" s="37" t="n">
        <v>0.02</v>
      </c>
      <c r="J9" s="36" t="n">
        <v>120000</v>
      </c>
      <c r="K9" s="4" t="s">
        <v>161</v>
      </c>
      <c r="L9" s="34"/>
      <c r="M9" s="38" t="str">
        <f aca="false">IF(TRIM($D9)="","",IFERROR(_xlfn.WEBSERVICE("https://api.ebarimt.mn/api/info/check/getTinInfo?regNo="&amp;_xlfn.ENCODEURL(UPPER(TRIM($D9)))),"#ERR"))</f>
        <v>#ERR</v>
      </c>
      <c r="N9" s="38" t="str">
        <f aca="false">IF(OR($M9="",$M9="#ERR"),"",IFERROR(SUBSTITUTE(SUBSTITUTE(MID($M9,SEARCH("""data"":",$M9)+7,40),"""","")," ",""),""))</f>
        <v/>
      </c>
    </row>
    <row r="10" customFormat="false" ht="15" hidden="false" customHeight="false" outlineLevel="0" collapsed="false">
      <c r="A10" s="33" t="n">
        <v>6</v>
      </c>
      <c r="B10" s="34" t="s">
        <v>179</v>
      </c>
      <c r="C10" s="34" t="s">
        <v>180</v>
      </c>
      <c r="D10" s="34" t="s">
        <v>181</v>
      </c>
      <c r="E10" s="35" t="str">
        <f aca="false">IF(TRIM($D10)="","",IF($M10="#ERR","Холболтгүй",IF(ISNUMBER(--LEFT($N10,MIN(FIND(",",$N10&amp;","),FIND("}",$N10&amp;"}"))-1)),LEFT($N10,MIN(FIND(",",$N10&amp;","),FIND("}",$N10&amp;"}"))-1),"Олдсонгүй")))</f>
        <v>Холболтгүй</v>
      </c>
      <c r="F10" s="34" t="s">
        <v>182</v>
      </c>
      <c r="G10" s="36" t="n">
        <v>1400000</v>
      </c>
      <c r="H10" s="37" t="n">
        <v>0</v>
      </c>
      <c r="I10" s="37" t="n">
        <v>0.05</v>
      </c>
      <c r="J10" s="36" t="n">
        <v>120000</v>
      </c>
      <c r="K10" s="4" t="s">
        <v>161</v>
      </c>
      <c r="L10" s="34"/>
      <c r="M10" s="38" t="str">
        <f aca="false">IF(TRIM($D10)="","",IFERROR(_xlfn.WEBSERVICE("https://api.ebarimt.mn/api/info/check/getTinInfo?regNo="&amp;_xlfn.ENCODEURL(UPPER(TRIM($D10)))),"#ERR"))</f>
        <v>#ERR</v>
      </c>
      <c r="N10" s="38" t="str">
        <f aca="false">IF(OR($M10="",$M10="#ERR"),"",IFERROR(SUBSTITUTE(SUBSTITUTE(MID($M10,SEARCH("""data"":",$M10)+7,40),"""","")," ",""),""))</f>
        <v/>
      </c>
    </row>
    <row r="11" customFormat="false" ht="15" hidden="false" customHeight="false" outlineLevel="0" collapsed="false">
      <c r="A11" s="33" t="n">
        <v>7</v>
      </c>
      <c r="B11" s="34" t="s">
        <v>183</v>
      </c>
      <c r="C11" s="34" t="s">
        <v>184</v>
      </c>
      <c r="D11" s="34" t="s">
        <v>185</v>
      </c>
      <c r="E11" s="35" t="str">
        <f aca="false">IF(TRIM($D11)="","",IF($M11="#ERR","Холболтгүй",IF(ISNUMBER(--LEFT($N11,MIN(FIND(",",$N11&amp;","),FIND("}",$N11&amp;"}"))-1)),LEFT($N11,MIN(FIND(",",$N11&amp;","),FIND("}",$N11&amp;"}"))-1),"Олдсонгүй")))</f>
        <v>Холболтгүй</v>
      </c>
      <c r="F11" s="34" t="s">
        <v>186</v>
      </c>
      <c r="G11" s="36" t="n">
        <v>900000</v>
      </c>
      <c r="H11" s="37" t="n">
        <v>0</v>
      </c>
      <c r="I11" s="37" t="n">
        <v>0</v>
      </c>
      <c r="J11" s="36" t="n">
        <v>120000</v>
      </c>
      <c r="K11" s="4" t="s">
        <v>161</v>
      </c>
      <c r="L11" s="34"/>
      <c r="M11" s="38" t="str">
        <f aca="false">IF(TRIM($D11)="","",IFERROR(_xlfn.WEBSERVICE("https://api.ebarimt.mn/api/info/check/getTinInfo?regNo="&amp;_xlfn.ENCODEURL(UPPER(TRIM($D11)))),"#ERR"))</f>
        <v>#ERR</v>
      </c>
      <c r="N11" s="38" t="str">
        <f aca="false">IF(OR($M11="",$M11="#ERR"),"",IFERROR(SUBSTITUTE(SUBSTITUTE(MID($M11,SEARCH("""data"":",$M11)+7,40),"""","")," ",""),""))</f>
        <v/>
      </c>
    </row>
    <row r="12" customFormat="false" ht="15" hidden="false" customHeight="false" outlineLevel="0" collapsed="false">
      <c r="A12" s="33" t="n">
        <v>8</v>
      </c>
      <c r="B12" s="34" t="s">
        <v>187</v>
      </c>
      <c r="C12" s="34" t="s">
        <v>188</v>
      </c>
      <c r="D12" s="34" t="s">
        <v>189</v>
      </c>
      <c r="E12" s="35" t="str">
        <f aca="false">IF(TRIM($D12)="","",IF($M12="#ERR","Холболтгүй",IF(ISNUMBER(--LEFT($N12,MIN(FIND(",",$N12&amp;","),FIND("}",$N12&amp;"}"))-1)),LEFT($N12,MIN(FIND(",",$N12&amp;","),FIND("}",$N12&amp;"}"))-1),"Олдсонгүй")))</f>
        <v>Холболтгүй</v>
      </c>
      <c r="F12" s="34" t="s">
        <v>190</v>
      </c>
      <c r="G12" s="36" t="n">
        <v>1300000</v>
      </c>
      <c r="H12" s="37" t="n">
        <v>0</v>
      </c>
      <c r="I12" s="37" t="n">
        <v>0</v>
      </c>
      <c r="J12" s="36" t="n">
        <v>120000</v>
      </c>
      <c r="K12" s="4" t="s">
        <v>191</v>
      </c>
      <c r="L12" s="34" t="s">
        <v>192</v>
      </c>
      <c r="M12" s="38" t="str">
        <f aca="false">IF(TRIM($D12)="","",IFERROR(_xlfn.WEBSERVICE("https://api.ebarimt.mn/api/info/check/getTinInfo?regNo="&amp;_xlfn.ENCODEURL(UPPER(TRIM($D12)))),"#ERR"))</f>
        <v>#ERR</v>
      </c>
      <c r="N12" s="38" t="str">
        <f aca="false">IF(OR($M12="",$M12="#ERR"),"",IFERROR(SUBSTITUTE(SUBSTITUTE(MID($M12,SEARCH("""data"":",$M12)+7,40),"""","")," ",""),""))</f>
        <v/>
      </c>
    </row>
    <row r="13" customFormat="false" ht="15" hidden="false" customHeight="false" outlineLevel="0" collapsed="false">
      <c r="A13" s="33" t="n">
        <v>9</v>
      </c>
      <c r="B13" s="34"/>
      <c r="C13" s="34"/>
      <c r="D13" s="34"/>
      <c r="E13" s="35" t="str">
        <f aca="false">IF(TRIM($D13)="","",IF($M13="#ERR","Холболтгүй",IF(ISNUMBER(--LEFT($N13,MIN(FIND(",",$N13&amp;","),FIND("}",$N13&amp;"}"))-1)),LEFT($N13,MIN(FIND(",",$N13&amp;","),FIND("}",$N13&amp;"}"))-1),"Олдсонгүй")))</f>
        <v/>
      </c>
      <c r="F13" s="34"/>
      <c r="G13" s="36"/>
      <c r="H13" s="37"/>
      <c r="I13" s="37"/>
      <c r="J13" s="36"/>
      <c r="K13" s="4"/>
      <c r="L13" s="34"/>
      <c r="M13" s="38" t="str">
        <f aca="false">IF(TRIM($D13)="","",IFERROR(_xlfn.WEBSERVICE("https://api.ebarimt.mn/api/info/check/getTinInfo?regNo="&amp;_xlfn.ENCODEURL(UPPER(TRIM($D13)))),"#ERR"))</f>
        <v/>
      </c>
      <c r="N13" s="38" t="str">
        <f aca="false">IF(OR($M13="",$M13="#ERR"),"",IFERROR(SUBSTITUTE(SUBSTITUTE(MID($M13,SEARCH("""data"":",$M13)+7,40),"""","")," ",""),""))</f>
        <v/>
      </c>
    </row>
    <row r="14" customFormat="false" ht="15" hidden="false" customHeight="false" outlineLevel="0" collapsed="false">
      <c r="A14" s="33" t="n">
        <v>10</v>
      </c>
      <c r="B14" s="34"/>
      <c r="C14" s="34"/>
      <c r="D14" s="34"/>
      <c r="E14" s="35" t="str">
        <f aca="false">IF(TRIM($D14)="","",IF($M14="#ERR","Холболтгүй",IF(ISNUMBER(--LEFT($N14,MIN(FIND(",",$N14&amp;","),FIND("}",$N14&amp;"}"))-1)),LEFT($N14,MIN(FIND(",",$N14&amp;","),FIND("}",$N14&amp;"}"))-1),"Олдсонгүй")))</f>
        <v/>
      </c>
      <c r="F14" s="34"/>
      <c r="G14" s="36"/>
      <c r="H14" s="37"/>
      <c r="I14" s="37"/>
      <c r="J14" s="36"/>
      <c r="K14" s="4"/>
      <c r="L14" s="34"/>
      <c r="M14" s="38" t="str">
        <f aca="false">IF(TRIM($D14)="","",IFERROR(_xlfn.WEBSERVICE("https://api.ebarimt.mn/api/info/check/getTinInfo?regNo="&amp;_xlfn.ENCODEURL(UPPER(TRIM($D14)))),"#ERR"))</f>
        <v/>
      </c>
      <c r="N14" s="38" t="str">
        <f aca="false">IF(OR($M14="",$M14="#ERR"),"",IFERROR(SUBSTITUTE(SUBSTITUTE(MID($M14,SEARCH("""data"":",$M14)+7,40),"""","")," ",""),""))</f>
        <v/>
      </c>
    </row>
    <row r="15" customFormat="false" ht="15" hidden="false" customHeight="false" outlineLevel="0" collapsed="false">
      <c r="A15" s="33" t="n">
        <v>11</v>
      </c>
      <c r="B15" s="34"/>
      <c r="C15" s="34"/>
      <c r="D15" s="34"/>
      <c r="E15" s="35" t="str">
        <f aca="false">IF(TRIM($D15)="","",IF($M15="#ERR","Холболтгүй",IF(ISNUMBER(--LEFT($N15,MIN(FIND(",",$N15&amp;","),FIND("}",$N15&amp;"}"))-1)),LEFT($N15,MIN(FIND(",",$N15&amp;","),FIND("}",$N15&amp;"}"))-1),"Олдсонгүй")))</f>
        <v/>
      </c>
      <c r="F15" s="34"/>
      <c r="G15" s="36"/>
      <c r="H15" s="37"/>
      <c r="I15" s="37"/>
      <c r="J15" s="36"/>
      <c r="K15" s="4"/>
      <c r="L15" s="34"/>
      <c r="M15" s="38" t="str">
        <f aca="false">IF(TRIM($D15)="","",IFERROR(_xlfn.WEBSERVICE("https://api.ebarimt.mn/api/info/check/getTinInfo?regNo="&amp;_xlfn.ENCODEURL(UPPER(TRIM($D15)))),"#ERR"))</f>
        <v/>
      </c>
      <c r="N15" s="38" t="str">
        <f aca="false">IF(OR($M15="",$M15="#ERR"),"",IFERROR(SUBSTITUTE(SUBSTITUTE(MID($M15,SEARCH("""data"":",$M15)+7,40),"""","")," ",""),""))</f>
        <v/>
      </c>
    </row>
    <row r="16" customFormat="false" ht="15" hidden="false" customHeight="false" outlineLevel="0" collapsed="false">
      <c r="A16" s="33" t="n">
        <v>12</v>
      </c>
      <c r="B16" s="34"/>
      <c r="C16" s="34"/>
      <c r="D16" s="34"/>
      <c r="E16" s="35" t="str">
        <f aca="false">IF(TRIM($D16)="","",IF($M16="#ERR","Холболтгүй",IF(ISNUMBER(--LEFT($N16,MIN(FIND(",",$N16&amp;","),FIND("}",$N16&amp;"}"))-1)),LEFT($N16,MIN(FIND(",",$N16&amp;","),FIND("}",$N16&amp;"}"))-1),"Олдсонгүй")))</f>
        <v/>
      </c>
      <c r="F16" s="34"/>
      <c r="G16" s="36"/>
      <c r="H16" s="37"/>
      <c r="I16" s="37"/>
      <c r="J16" s="36"/>
      <c r="K16" s="4"/>
      <c r="L16" s="34"/>
      <c r="M16" s="38" t="str">
        <f aca="false">IF(TRIM($D16)="","",IFERROR(_xlfn.WEBSERVICE("https://api.ebarimt.mn/api/info/check/getTinInfo?regNo="&amp;_xlfn.ENCODEURL(UPPER(TRIM($D16)))),"#ERR"))</f>
        <v/>
      </c>
      <c r="N16" s="38" t="str">
        <f aca="false">IF(OR($M16="",$M16="#ERR"),"",IFERROR(SUBSTITUTE(SUBSTITUTE(MID($M16,SEARCH("""data"":",$M16)+7,40),"""","")," ",""),""))</f>
        <v/>
      </c>
    </row>
    <row r="17" customFormat="false" ht="15" hidden="false" customHeight="false" outlineLevel="0" collapsed="false">
      <c r="A17" s="33" t="n">
        <v>13</v>
      </c>
      <c r="B17" s="34"/>
      <c r="C17" s="34"/>
      <c r="D17" s="34"/>
      <c r="E17" s="35" t="str">
        <f aca="false">IF(TRIM($D17)="","",IF($M17="#ERR","Холболтгүй",IF(ISNUMBER(--LEFT($N17,MIN(FIND(",",$N17&amp;","),FIND("}",$N17&amp;"}"))-1)),LEFT($N17,MIN(FIND(",",$N17&amp;","),FIND("}",$N17&amp;"}"))-1),"Олдсонгүй")))</f>
        <v/>
      </c>
      <c r="F17" s="34"/>
      <c r="G17" s="36"/>
      <c r="H17" s="37"/>
      <c r="I17" s="37"/>
      <c r="J17" s="36"/>
      <c r="K17" s="4"/>
      <c r="L17" s="34"/>
      <c r="M17" s="38" t="str">
        <f aca="false">IF(TRIM($D17)="","",IFERROR(_xlfn.WEBSERVICE("https://api.ebarimt.mn/api/info/check/getTinInfo?regNo="&amp;_xlfn.ENCODEURL(UPPER(TRIM($D17)))),"#ERR"))</f>
        <v/>
      </c>
      <c r="N17" s="38" t="str">
        <f aca="false">IF(OR($M17="",$M17="#ERR"),"",IFERROR(SUBSTITUTE(SUBSTITUTE(MID($M17,SEARCH("""data"":",$M17)+7,40),"""","")," ",""),""))</f>
        <v/>
      </c>
    </row>
    <row r="18" customFormat="false" ht="15" hidden="false" customHeight="false" outlineLevel="0" collapsed="false">
      <c r="A18" s="33" t="n">
        <v>14</v>
      </c>
      <c r="B18" s="34"/>
      <c r="C18" s="34"/>
      <c r="D18" s="34"/>
      <c r="E18" s="35" t="str">
        <f aca="false">IF(TRIM($D18)="","",IF($M18="#ERR","Холболтгүй",IF(ISNUMBER(--LEFT($N18,MIN(FIND(",",$N18&amp;","),FIND("}",$N18&amp;"}"))-1)),LEFT($N18,MIN(FIND(",",$N18&amp;","),FIND("}",$N18&amp;"}"))-1),"Олдсонгүй")))</f>
        <v/>
      </c>
      <c r="F18" s="34"/>
      <c r="G18" s="36"/>
      <c r="H18" s="37"/>
      <c r="I18" s="37"/>
      <c r="J18" s="36"/>
      <c r="K18" s="4"/>
      <c r="L18" s="34"/>
      <c r="M18" s="38" t="str">
        <f aca="false">IF(TRIM($D18)="","",IFERROR(_xlfn.WEBSERVICE("https://api.ebarimt.mn/api/info/check/getTinInfo?regNo="&amp;_xlfn.ENCODEURL(UPPER(TRIM($D18)))),"#ERR"))</f>
        <v/>
      </c>
      <c r="N18" s="38" t="str">
        <f aca="false">IF(OR($M18="",$M18="#ERR"),"",IFERROR(SUBSTITUTE(SUBSTITUTE(MID($M18,SEARCH("""data"":",$M18)+7,40),"""","")," ",""),""))</f>
        <v/>
      </c>
    </row>
    <row r="19" customFormat="false" ht="15" hidden="false" customHeight="false" outlineLevel="0" collapsed="false">
      <c r="A19" s="33" t="n">
        <v>15</v>
      </c>
      <c r="B19" s="34"/>
      <c r="C19" s="34"/>
      <c r="D19" s="34"/>
      <c r="E19" s="35" t="str">
        <f aca="false">IF(TRIM($D19)="","",IF($M19="#ERR","Холболтгүй",IF(ISNUMBER(--LEFT($N19,MIN(FIND(",",$N19&amp;","),FIND("}",$N19&amp;"}"))-1)),LEFT($N19,MIN(FIND(",",$N19&amp;","),FIND("}",$N19&amp;"}"))-1),"Олдсонгүй")))</f>
        <v/>
      </c>
      <c r="F19" s="34"/>
      <c r="G19" s="36"/>
      <c r="H19" s="37"/>
      <c r="I19" s="37"/>
      <c r="J19" s="36"/>
      <c r="K19" s="4"/>
      <c r="L19" s="34"/>
      <c r="M19" s="38" t="str">
        <f aca="false">IF(TRIM($D19)="","",IFERROR(_xlfn.WEBSERVICE("https://api.ebarimt.mn/api/info/check/getTinInfo?regNo="&amp;_xlfn.ENCODEURL(UPPER(TRIM($D19)))),"#ERR"))</f>
        <v/>
      </c>
      <c r="N19" s="38" t="str">
        <f aca="false">IF(OR($M19="",$M19="#ERR"),"",IFERROR(SUBSTITUTE(SUBSTITUTE(MID($M19,SEARCH("""data"":",$M19)+7,40),"""","")," ",""),""))</f>
        <v/>
      </c>
    </row>
    <row r="20" customFormat="false" ht="15" hidden="false" customHeight="false" outlineLevel="0" collapsed="false">
      <c r="A20" s="33" t="n">
        <v>16</v>
      </c>
      <c r="B20" s="34"/>
      <c r="C20" s="34"/>
      <c r="D20" s="34"/>
      <c r="E20" s="35" t="str">
        <f aca="false">IF(TRIM($D20)="","",IF($M20="#ERR","Холболтгүй",IF(ISNUMBER(--LEFT($N20,MIN(FIND(",",$N20&amp;","),FIND("}",$N20&amp;"}"))-1)),LEFT($N20,MIN(FIND(",",$N20&amp;","),FIND("}",$N20&amp;"}"))-1),"Олдсонгүй")))</f>
        <v/>
      </c>
      <c r="F20" s="34"/>
      <c r="G20" s="36"/>
      <c r="H20" s="37"/>
      <c r="I20" s="37"/>
      <c r="J20" s="36"/>
      <c r="K20" s="4"/>
      <c r="L20" s="34"/>
      <c r="M20" s="38" t="str">
        <f aca="false">IF(TRIM($D20)="","",IFERROR(_xlfn.WEBSERVICE("https://api.ebarimt.mn/api/info/check/getTinInfo?regNo="&amp;_xlfn.ENCODEURL(UPPER(TRIM($D20)))),"#ERR"))</f>
        <v/>
      </c>
      <c r="N20" s="38" t="str">
        <f aca="false">IF(OR($M20="",$M20="#ERR"),"",IFERROR(SUBSTITUTE(SUBSTITUTE(MID($M20,SEARCH("""data"":",$M20)+7,40),"""","")," ",""),""))</f>
        <v/>
      </c>
    </row>
    <row r="21" customFormat="false" ht="15" hidden="false" customHeight="false" outlineLevel="0" collapsed="false">
      <c r="A21" s="33" t="n">
        <v>17</v>
      </c>
      <c r="B21" s="34"/>
      <c r="C21" s="34"/>
      <c r="D21" s="34"/>
      <c r="E21" s="35" t="str">
        <f aca="false">IF(TRIM($D21)="","",IF($M21="#ERR","Холболтгүй",IF(ISNUMBER(--LEFT($N21,MIN(FIND(",",$N21&amp;","),FIND("}",$N21&amp;"}"))-1)),LEFT($N21,MIN(FIND(",",$N21&amp;","),FIND("}",$N21&amp;"}"))-1),"Олдсонгүй")))</f>
        <v/>
      </c>
      <c r="F21" s="34"/>
      <c r="G21" s="36"/>
      <c r="H21" s="37"/>
      <c r="I21" s="37"/>
      <c r="J21" s="36"/>
      <c r="K21" s="4"/>
      <c r="L21" s="34"/>
      <c r="M21" s="38" t="str">
        <f aca="false">IF(TRIM($D21)="","",IFERROR(_xlfn.WEBSERVICE("https://api.ebarimt.mn/api/info/check/getTinInfo?regNo="&amp;_xlfn.ENCODEURL(UPPER(TRIM($D21)))),"#ERR"))</f>
        <v/>
      </c>
      <c r="N21" s="38" t="str">
        <f aca="false">IF(OR($M21="",$M21="#ERR"),"",IFERROR(SUBSTITUTE(SUBSTITUTE(MID($M21,SEARCH("""data"":",$M21)+7,40),"""","")," ",""),""))</f>
        <v/>
      </c>
    </row>
    <row r="22" customFormat="false" ht="15" hidden="false" customHeight="false" outlineLevel="0" collapsed="false">
      <c r="A22" s="33" t="n">
        <v>18</v>
      </c>
      <c r="B22" s="34"/>
      <c r="C22" s="34"/>
      <c r="D22" s="34"/>
      <c r="E22" s="35" t="str">
        <f aca="false">IF(TRIM($D22)="","",IF($M22="#ERR","Холболтгүй",IF(ISNUMBER(--LEFT($N22,MIN(FIND(",",$N22&amp;","),FIND("}",$N22&amp;"}"))-1)),LEFT($N22,MIN(FIND(",",$N22&amp;","),FIND("}",$N22&amp;"}"))-1),"Олдсонгүй")))</f>
        <v/>
      </c>
      <c r="F22" s="34"/>
      <c r="G22" s="36"/>
      <c r="H22" s="37"/>
      <c r="I22" s="37"/>
      <c r="J22" s="36"/>
      <c r="K22" s="4"/>
      <c r="L22" s="34"/>
      <c r="M22" s="38" t="str">
        <f aca="false">IF(TRIM($D22)="","",IFERROR(_xlfn.WEBSERVICE("https://api.ebarimt.mn/api/info/check/getTinInfo?regNo="&amp;_xlfn.ENCODEURL(UPPER(TRIM($D22)))),"#ERR"))</f>
        <v/>
      </c>
      <c r="N22" s="38" t="str">
        <f aca="false">IF(OR($M22="",$M22="#ERR"),"",IFERROR(SUBSTITUTE(SUBSTITUTE(MID($M22,SEARCH("""data"":",$M22)+7,40),"""","")," ",""),""))</f>
        <v/>
      </c>
    </row>
    <row r="23" customFormat="false" ht="15" hidden="false" customHeight="false" outlineLevel="0" collapsed="false">
      <c r="A23" s="33" t="n">
        <v>19</v>
      </c>
      <c r="B23" s="34"/>
      <c r="C23" s="34"/>
      <c r="D23" s="34"/>
      <c r="E23" s="35" t="str">
        <f aca="false">IF(TRIM($D23)="","",IF($M23="#ERR","Холболтгүй",IF(ISNUMBER(--LEFT($N23,MIN(FIND(",",$N23&amp;","),FIND("}",$N23&amp;"}"))-1)),LEFT($N23,MIN(FIND(",",$N23&amp;","),FIND("}",$N23&amp;"}"))-1),"Олдсонгүй")))</f>
        <v/>
      </c>
      <c r="F23" s="34"/>
      <c r="G23" s="36"/>
      <c r="H23" s="37"/>
      <c r="I23" s="37"/>
      <c r="J23" s="36"/>
      <c r="K23" s="4"/>
      <c r="L23" s="34"/>
      <c r="M23" s="38" t="str">
        <f aca="false">IF(TRIM($D23)="","",IFERROR(_xlfn.WEBSERVICE("https://api.ebarimt.mn/api/info/check/getTinInfo?regNo="&amp;_xlfn.ENCODEURL(UPPER(TRIM($D23)))),"#ERR"))</f>
        <v/>
      </c>
      <c r="N23" s="38" t="str">
        <f aca="false">IF(OR($M23="",$M23="#ERR"),"",IFERROR(SUBSTITUTE(SUBSTITUTE(MID($M23,SEARCH("""data"":",$M23)+7,40),"""","")," ",""),""))</f>
        <v/>
      </c>
    </row>
    <row r="24" customFormat="false" ht="15" hidden="false" customHeight="false" outlineLevel="0" collapsed="false">
      <c r="A24" s="33" t="n">
        <v>20</v>
      </c>
      <c r="B24" s="34"/>
      <c r="C24" s="34"/>
      <c r="D24" s="34"/>
      <c r="E24" s="35" t="str">
        <f aca="false">IF(TRIM($D24)="","",IF($M24="#ERR","Холболтгүй",IF(ISNUMBER(--LEFT($N24,MIN(FIND(",",$N24&amp;","),FIND("}",$N24&amp;"}"))-1)),LEFT($N24,MIN(FIND(",",$N24&amp;","),FIND("}",$N24&amp;"}"))-1),"Олдсонгүй")))</f>
        <v/>
      </c>
      <c r="F24" s="34"/>
      <c r="G24" s="36"/>
      <c r="H24" s="37"/>
      <c r="I24" s="37"/>
      <c r="J24" s="36"/>
      <c r="K24" s="4"/>
      <c r="L24" s="34"/>
      <c r="M24" s="38" t="str">
        <f aca="false">IF(TRIM($D24)="","",IFERROR(_xlfn.WEBSERVICE("https://api.ebarimt.mn/api/info/check/getTinInfo?regNo="&amp;_xlfn.ENCODEURL(UPPER(TRIM($D24)))),"#ERR"))</f>
        <v/>
      </c>
      <c r="N24" s="38" t="str">
        <f aca="false">IF(OR($M24="",$M24="#ERR"),"",IFERROR(SUBSTITUTE(SUBSTITUTE(MID($M24,SEARCH("""data"":",$M24)+7,40),"""","")," ",""),""))</f>
        <v/>
      </c>
    </row>
    <row r="25" customFormat="false" ht="15" hidden="false" customHeight="false" outlineLevel="0" collapsed="false">
      <c r="A25" s="33" t="n">
        <v>21</v>
      </c>
      <c r="B25" s="34"/>
      <c r="C25" s="34"/>
      <c r="D25" s="34"/>
      <c r="E25" s="35" t="str">
        <f aca="false">IF(TRIM($D25)="","",IF($M25="#ERR","Холболтгүй",IF(ISNUMBER(--LEFT($N25,MIN(FIND(",",$N25&amp;","),FIND("}",$N25&amp;"}"))-1)),LEFT($N25,MIN(FIND(",",$N25&amp;","),FIND("}",$N25&amp;"}"))-1),"Олдсонгүй")))</f>
        <v/>
      </c>
      <c r="F25" s="34"/>
      <c r="G25" s="36"/>
      <c r="H25" s="37"/>
      <c r="I25" s="37"/>
      <c r="J25" s="36"/>
      <c r="K25" s="4"/>
      <c r="L25" s="34"/>
      <c r="M25" s="38" t="str">
        <f aca="false">IF(TRIM($D25)="","",IFERROR(_xlfn.WEBSERVICE("https://api.ebarimt.mn/api/info/check/getTinInfo?regNo="&amp;_xlfn.ENCODEURL(UPPER(TRIM($D25)))),"#ERR"))</f>
        <v/>
      </c>
      <c r="N25" s="38" t="str">
        <f aca="false">IF(OR($M25="",$M25="#ERR"),"",IFERROR(SUBSTITUTE(SUBSTITUTE(MID($M25,SEARCH("""data"":",$M25)+7,40),"""","")," ",""),""))</f>
        <v/>
      </c>
    </row>
    <row r="26" customFormat="false" ht="15" hidden="false" customHeight="false" outlineLevel="0" collapsed="false">
      <c r="A26" s="33" t="n">
        <v>22</v>
      </c>
      <c r="B26" s="34"/>
      <c r="C26" s="34"/>
      <c r="D26" s="34"/>
      <c r="E26" s="35" t="str">
        <f aca="false">IF(TRIM($D26)="","",IF($M26="#ERR","Холболтгүй",IF(ISNUMBER(--LEFT($N26,MIN(FIND(",",$N26&amp;","),FIND("}",$N26&amp;"}"))-1)),LEFT($N26,MIN(FIND(",",$N26&amp;","),FIND("}",$N26&amp;"}"))-1),"Олдсонгүй")))</f>
        <v/>
      </c>
      <c r="F26" s="34"/>
      <c r="G26" s="36"/>
      <c r="H26" s="37"/>
      <c r="I26" s="37"/>
      <c r="J26" s="36"/>
      <c r="K26" s="4"/>
      <c r="L26" s="34"/>
      <c r="M26" s="38" t="str">
        <f aca="false">IF(TRIM($D26)="","",IFERROR(_xlfn.WEBSERVICE("https://api.ebarimt.mn/api/info/check/getTinInfo?regNo="&amp;_xlfn.ENCODEURL(UPPER(TRIM($D26)))),"#ERR"))</f>
        <v/>
      </c>
      <c r="N26" s="38" t="str">
        <f aca="false">IF(OR($M26="",$M26="#ERR"),"",IFERROR(SUBSTITUTE(SUBSTITUTE(MID($M26,SEARCH("""data"":",$M26)+7,40),"""","")," ",""),""))</f>
        <v/>
      </c>
    </row>
    <row r="27" customFormat="false" ht="15" hidden="false" customHeight="false" outlineLevel="0" collapsed="false">
      <c r="A27" s="33" t="n">
        <v>23</v>
      </c>
      <c r="B27" s="34"/>
      <c r="C27" s="34"/>
      <c r="D27" s="34"/>
      <c r="E27" s="35" t="str">
        <f aca="false">IF(TRIM($D27)="","",IF($M27="#ERR","Холболтгүй",IF(ISNUMBER(--LEFT($N27,MIN(FIND(",",$N27&amp;","),FIND("}",$N27&amp;"}"))-1)),LEFT($N27,MIN(FIND(",",$N27&amp;","),FIND("}",$N27&amp;"}"))-1),"Олдсонгүй")))</f>
        <v/>
      </c>
      <c r="F27" s="34"/>
      <c r="G27" s="36"/>
      <c r="H27" s="37"/>
      <c r="I27" s="37"/>
      <c r="J27" s="36"/>
      <c r="K27" s="4"/>
      <c r="L27" s="34"/>
      <c r="M27" s="38" t="str">
        <f aca="false">IF(TRIM($D27)="","",IFERROR(_xlfn.WEBSERVICE("https://api.ebarimt.mn/api/info/check/getTinInfo?regNo="&amp;_xlfn.ENCODEURL(UPPER(TRIM($D27)))),"#ERR"))</f>
        <v/>
      </c>
      <c r="N27" s="38" t="str">
        <f aca="false">IF(OR($M27="",$M27="#ERR"),"",IFERROR(SUBSTITUTE(SUBSTITUTE(MID($M27,SEARCH("""data"":",$M27)+7,40),"""","")," ",""),""))</f>
        <v/>
      </c>
    </row>
    <row r="28" customFormat="false" ht="15" hidden="false" customHeight="false" outlineLevel="0" collapsed="false">
      <c r="A28" s="33" t="n">
        <v>24</v>
      </c>
      <c r="B28" s="34"/>
      <c r="C28" s="34"/>
      <c r="D28" s="34"/>
      <c r="E28" s="35" t="str">
        <f aca="false">IF(TRIM($D28)="","",IF($M28="#ERR","Холболтгүй",IF(ISNUMBER(--LEFT($N28,MIN(FIND(",",$N28&amp;","),FIND("}",$N28&amp;"}"))-1)),LEFT($N28,MIN(FIND(",",$N28&amp;","),FIND("}",$N28&amp;"}"))-1),"Олдсонгүй")))</f>
        <v/>
      </c>
      <c r="F28" s="34"/>
      <c r="G28" s="36"/>
      <c r="H28" s="37"/>
      <c r="I28" s="37"/>
      <c r="J28" s="36"/>
      <c r="K28" s="4"/>
      <c r="L28" s="34"/>
      <c r="M28" s="38" t="str">
        <f aca="false">IF(TRIM($D28)="","",IFERROR(_xlfn.WEBSERVICE("https://api.ebarimt.mn/api/info/check/getTinInfo?regNo="&amp;_xlfn.ENCODEURL(UPPER(TRIM($D28)))),"#ERR"))</f>
        <v/>
      </c>
      <c r="N28" s="38" t="str">
        <f aca="false">IF(OR($M28="",$M28="#ERR"),"",IFERROR(SUBSTITUTE(SUBSTITUTE(MID($M28,SEARCH("""data"":",$M28)+7,40),"""","")," ",""),""))</f>
        <v/>
      </c>
    </row>
    <row r="29" customFormat="false" ht="15" hidden="false" customHeight="false" outlineLevel="0" collapsed="false">
      <c r="A29" s="33" t="n">
        <v>25</v>
      </c>
      <c r="B29" s="34"/>
      <c r="C29" s="34"/>
      <c r="D29" s="34"/>
      <c r="E29" s="35" t="str">
        <f aca="false">IF(TRIM($D29)="","",IF($M29="#ERR","Холболтгүй",IF(ISNUMBER(--LEFT($N29,MIN(FIND(",",$N29&amp;","),FIND("}",$N29&amp;"}"))-1)),LEFT($N29,MIN(FIND(",",$N29&amp;","),FIND("}",$N29&amp;"}"))-1),"Олдсонгүй")))</f>
        <v/>
      </c>
      <c r="F29" s="34"/>
      <c r="G29" s="36"/>
      <c r="H29" s="37"/>
      <c r="I29" s="37"/>
      <c r="J29" s="36"/>
      <c r="K29" s="4"/>
      <c r="L29" s="34"/>
      <c r="M29" s="38" t="str">
        <f aca="false">IF(TRIM($D29)="","",IFERROR(_xlfn.WEBSERVICE("https://api.ebarimt.mn/api/info/check/getTinInfo?regNo="&amp;_xlfn.ENCODEURL(UPPER(TRIM($D29)))),"#ERR"))</f>
        <v/>
      </c>
      <c r="N29" s="38" t="str">
        <f aca="false">IF(OR($M29="",$M29="#ERR"),"",IFERROR(SUBSTITUTE(SUBSTITUTE(MID($M29,SEARCH("""data"":",$M29)+7,40),"""","")," ",""),""))</f>
        <v/>
      </c>
    </row>
    <row r="30" customFormat="false" ht="15" hidden="false" customHeight="false" outlineLevel="0" collapsed="false">
      <c r="A30" s="33" t="n">
        <v>26</v>
      </c>
      <c r="B30" s="34"/>
      <c r="C30" s="34"/>
      <c r="D30" s="34"/>
      <c r="E30" s="35" t="str">
        <f aca="false">IF(TRIM($D30)="","",IF($M30="#ERR","Холболтгүй",IF(ISNUMBER(--LEFT($N30,MIN(FIND(",",$N30&amp;","),FIND("}",$N30&amp;"}"))-1)),LEFT($N30,MIN(FIND(",",$N30&amp;","),FIND("}",$N30&amp;"}"))-1),"Олдсонгүй")))</f>
        <v/>
      </c>
      <c r="F30" s="34"/>
      <c r="G30" s="36"/>
      <c r="H30" s="37"/>
      <c r="I30" s="37"/>
      <c r="J30" s="36"/>
      <c r="K30" s="4"/>
      <c r="L30" s="34"/>
      <c r="M30" s="38" t="str">
        <f aca="false">IF(TRIM($D30)="","",IFERROR(_xlfn.WEBSERVICE("https://api.ebarimt.mn/api/info/check/getTinInfo?regNo="&amp;_xlfn.ENCODEURL(UPPER(TRIM($D30)))),"#ERR"))</f>
        <v/>
      </c>
      <c r="N30" s="38" t="str">
        <f aca="false">IF(OR($M30="",$M30="#ERR"),"",IFERROR(SUBSTITUTE(SUBSTITUTE(MID($M30,SEARCH("""data"":",$M30)+7,40),"""","")," ",""),""))</f>
        <v/>
      </c>
    </row>
    <row r="31" customFormat="false" ht="15" hidden="false" customHeight="false" outlineLevel="0" collapsed="false">
      <c r="A31" s="33" t="n">
        <v>27</v>
      </c>
      <c r="B31" s="34"/>
      <c r="C31" s="34"/>
      <c r="D31" s="34"/>
      <c r="E31" s="35" t="str">
        <f aca="false">IF(TRIM($D31)="","",IF($M31="#ERR","Холболтгүй",IF(ISNUMBER(--LEFT($N31,MIN(FIND(",",$N31&amp;","),FIND("}",$N31&amp;"}"))-1)),LEFT($N31,MIN(FIND(",",$N31&amp;","),FIND("}",$N31&amp;"}"))-1),"Олдсонгүй")))</f>
        <v/>
      </c>
      <c r="F31" s="34"/>
      <c r="G31" s="36"/>
      <c r="H31" s="37"/>
      <c r="I31" s="37"/>
      <c r="J31" s="36"/>
      <c r="K31" s="4"/>
      <c r="L31" s="34"/>
      <c r="M31" s="38" t="str">
        <f aca="false">IF(TRIM($D31)="","",IFERROR(_xlfn.WEBSERVICE("https://api.ebarimt.mn/api/info/check/getTinInfo?regNo="&amp;_xlfn.ENCODEURL(UPPER(TRIM($D31)))),"#ERR"))</f>
        <v/>
      </c>
      <c r="N31" s="38" t="str">
        <f aca="false">IF(OR($M31="",$M31="#ERR"),"",IFERROR(SUBSTITUTE(SUBSTITUTE(MID($M31,SEARCH("""data"":",$M31)+7,40),"""","")," ",""),""))</f>
        <v/>
      </c>
    </row>
    <row r="32" customFormat="false" ht="15" hidden="false" customHeight="false" outlineLevel="0" collapsed="false">
      <c r="A32" s="33" t="n">
        <v>28</v>
      </c>
      <c r="B32" s="34"/>
      <c r="C32" s="34"/>
      <c r="D32" s="34"/>
      <c r="E32" s="35" t="str">
        <f aca="false">IF(TRIM($D32)="","",IF($M32="#ERR","Холболтгүй",IF(ISNUMBER(--LEFT($N32,MIN(FIND(",",$N32&amp;","),FIND("}",$N32&amp;"}"))-1)),LEFT($N32,MIN(FIND(",",$N32&amp;","),FIND("}",$N32&amp;"}"))-1),"Олдсонгүй")))</f>
        <v/>
      </c>
      <c r="F32" s="34"/>
      <c r="G32" s="36"/>
      <c r="H32" s="37"/>
      <c r="I32" s="37"/>
      <c r="J32" s="36"/>
      <c r="K32" s="4"/>
      <c r="L32" s="34"/>
      <c r="M32" s="38" t="str">
        <f aca="false">IF(TRIM($D32)="","",IFERROR(_xlfn.WEBSERVICE("https://api.ebarimt.mn/api/info/check/getTinInfo?regNo="&amp;_xlfn.ENCODEURL(UPPER(TRIM($D32)))),"#ERR"))</f>
        <v/>
      </c>
      <c r="N32" s="38" t="str">
        <f aca="false">IF(OR($M32="",$M32="#ERR"),"",IFERROR(SUBSTITUTE(SUBSTITUTE(MID($M32,SEARCH("""data"":",$M32)+7,40),"""","")," ",""),""))</f>
        <v/>
      </c>
    </row>
    <row r="33" customFormat="false" ht="15" hidden="false" customHeight="false" outlineLevel="0" collapsed="false">
      <c r="A33" s="33" t="n">
        <v>29</v>
      </c>
      <c r="B33" s="34"/>
      <c r="C33" s="34"/>
      <c r="D33" s="34"/>
      <c r="E33" s="35" t="str">
        <f aca="false">IF(TRIM($D33)="","",IF($M33="#ERR","Холболтгүй",IF(ISNUMBER(--LEFT($N33,MIN(FIND(",",$N33&amp;","),FIND("}",$N33&amp;"}"))-1)),LEFT($N33,MIN(FIND(",",$N33&amp;","),FIND("}",$N33&amp;"}"))-1),"Олдсонгүй")))</f>
        <v/>
      </c>
      <c r="F33" s="34"/>
      <c r="G33" s="36"/>
      <c r="H33" s="37"/>
      <c r="I33" s="37"/>
      <c r="J33" s="36"/>
      <c r="K33" s="4"/>
      <c r="L33" s="34"/>
      <c r="M33" s="38" t="str">
        <f aca="false">IF(TRIM($D33)="","",IFERROR(_xlfn.WEBSERVICE("https://api.ebarimt.mn/api/info/check/getTinInfo?regNo="&amp;_xlfn.ENCODEURL(UPPER(TRIM($D33)))),"#ERR"))</f>
        <v/>
      </c>
      <c r="N33" s="38" t="str">
        <f aca="false">IF(OR($M33="",$M33="#ERR"),"",IFERROR(SUBSTITUTE(SUBSTITUTE(MID($M33,SEARCH("""data"":",$M33)+7,40),"""","")," ",""),""))</f>
        <v/>
      </c>
    </row>
    <row r="34" customFormat="false" ht="15" hidden="false" customHeight="false" outlineLevel="0" collapsed="false">
      <c r="A34" s="33" t="n">
        <v>30</v>
      </c>
      <c r="B34" s="34"/>
      <c r="C34" s="34"/>
      <c r="D34" s="34"/>
      <c r="E34" s="35" t="str">
        <f aca="false">IF(TRIM($D34)="","",IF($M34="#ERR","Холболтгүй",IF(ISNUMBER(--LEFT($N34,MIN(FIND(",",$N34&amp;","),FIND("}",$N34&amp;"}"))-1)),LEFT($N34,MIN(FIND(",",$N34&amp;","),FIND("}",$N34&amp;"}"))-1),"Олдсонгүй")))</f>
        <v/>
      </c>
      <c r="F34" s="34"/>
      <c r="G34" s="36"/>
      <c r="H34" s="37"/>
      <c r="I34" s="37"/>
      <c r="J34" s="36"/>
      <c r="K34" s="4"/>
      <c r="L34" s="34"/>
      <c r="M34" s="38" t="str">
        <f aca="false">IF(TRIM($D34)="","",IFERROR(_xlfn.WEBSERVICE("https://api.ebarimt.mn/api/info/check/getTinInfo?regNo="&amp;_xlfn.ENCODEURL(UPPER(TRIM($D34)))),"#ERR"))</f>
        <v/>
      </c>
      <c r="N34" s="38" t="str">
        <f aca="false">IF(OR($M34="",$M34="#ERR"),"",IFERROR(SUBSTITUTE(SUBSTITUTE(MID($M34,SEARCH("""data"":",$M34)+7,40),"""","")," ",""),""))</f>
        <v/>
      </c>
    </row>
    <row r="36" customFormat="false" ht="15" hidden="false" customHeight="false" outlineLevel="0" collapsed="false">
      <c r="B36" s="39" t="s">
        <v>193</v>
      </c>
    </row>
    <row r="37" customFormat="false" ht="15" hidden="false" customHeight="false" outlineLevel="0" collapsed="false">
      <c r="B37" s="39" t="s">
        <v>194</v>
      </c>
    </row>
    <row r="38" customFormat="false" ht="15" hidden="false" customHeight="false" outlineLevel="0" collapsed="false">
      <c r="B38" s="39" t="s">
        <v>195</v>
      </c>
    </row>
  </sheetData>
  <conditionalFormatting sqref="E5:E34">
    <cfRule type="cellIs" priority="2" operator="equal" aboveAverage="0" equalAverage="0" bottom="0" percent="0" rank="0" text="" dxfId="0">
      <formula>"Олдсонгүй"</formula>
    </cfRule>
    <cfRule type="cellIs" priority="3" operator="equal" aboveAverage="0" equalAverage="0" bottom="0" percent="0" rank="0" text="" dxfId="1">
      <formula>"Холболтгүй"</formula>
    </cfRule>
  </conditionalFormatting>
  <dataValidations count="3">
    <dataValidation allowBlank="true" errorStyle="stop" operator="between" showDropDown="false" showErrorMessage="false" showInputMessage="false" sqref="K5:K34" type="list">
      <formula1>"Тийм,Үгүй"</formula1>
      <formula2>0</formula2>
    </dataValidation>
    <dataValidation allowBlank="false" error="Хувийг 0%–100% хооронд оруулна" errorStyle="stop" operator="between" showDropDown="false" showErrorMessage="true" showInputMessage="false" sqref="H5:I34" type="decimal">
      <formula1>0</formula1>
      <formula2>1</formula2>
    </dataValidation>
    <dataValidation allowBlank="true" error="Иргэний регистр 2 кирилл үсэг + 8 цифр (жишээ нь УБ90010112) байна. Үргэлжлүүлэх үү?" errorStyle="warning" errorTitle="Регистрийн дугаар" operator="between" showDropDown="false" showErrorMessage="true" showInputMessage="false" sqref="D5:D34" type="custom">
      <formula1>LEN(TRIM(D5))=10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26"/>
    <col collapsed="false" customWidth="true" hidden="false" outlineLevel="0" max="4" min="4" style="0" width="15"/>
    <col collapsed="false" customWidth="true" hidden="false" outlineLevel="0" max="5" min="5" style="0" width="12"/>
    <col collapsed="false" customWidth="true" hidden="false" outlineLevel="0" max="6" min="6" style="0" width="11"/>
    <col collapsed="false" customWidth="true" hidden="false" outlineLevel="0" max="7" min="7" style="0" width="12"/>
    <col collapsed="false" customWidth="true" hidden="false" outlineLevel="0" max="8" min="8" style="0" width="16"/>
    <col collapsed="false" customWidth="true" hidden="false" outlineLevel="0" max="9" min="9" style="0" width="18"/>
  </cols>
  <sheetData>
    <row r="1" customFormat="false" ht="17.35" hidden="false" customHeight="false" outlineLevel="0" collapsed="false">
      <c r="A1" s="9" t="s">
        <v>196</v>
      </c>
    </row>
    <row r="2" customFormat="false" ht="15" hidden="false" customHeight="false" outlineLevel="0" collapsed="false">
      <c r="A2" s="40" t="str">
        <f aca="false">Тохиргоо!$C$4&amp;"  |  "&amp;Тохиргоо!$C$5&amp;" оны "&amp;Тохиргоо!$C$6&amp;"-р сар"</f>
        <v>Жишээ ХХК  |  2026 оны 10-р сар</v>
      </c>
    </row>
    <row r="4" customFormat="false" ht="57.75" hidden="false" customHeight="true" outlineLevel="0" collapsed="false">
      <c r="A4" s="22" t="s">
        <v>143</v>
      </c>
      <c r="B4" s="22" t="s">
        <v>197</v>
      </c>
      <c r="C4" s="22" t="s">
        <v>148</v>
      </c>
      <c r="D4" s="22" t="s">
        <v>149</v>
      </c>
      <c r="E4" s="22" t="s">
        <v>198</v>
      </c>
      <c r="F4" s="22" t="s">
        <v>199</v>
      </c>
      <c r="G4" s="22" t="s">
        <v>200</v>
      </c>
      <c r="H4" s="22" t="s">
        <v>201</v>
      </c>
      <c r="I4" s="22" t="s">
        <v>202</v>
      </c>
    </row>
    <row r="5" customFormat="false" ht="15" hidden="false" customHeight="false" outlineLevel="0" collapsed="false">
      <c r="A5" s="33" t="n">
        <f aca="false">IF($B5="","",ROW()-4)</f>
        <v>1</v>
      </c>
      <c r="B5" s="41" t="str">
        <f aca="false">IF(Ажилтнууд!$C5="","",LEFT(Ажилтнууд!$B5,1)&amp;"."&amp;Ажилтнууд!$C5)</f>
        <v>Д.Болд</v>
      </c>
      <c r="C5" s="41" t="str">
        <f aca="false">IF($B5="","",Ажилтнууд!$F5)</f>
        <v>Гүйцэтгэх захирал</v>
      </c>
      <c r="D5" s="42" t="n">
        <f aca="false">IF($B5="","",Ажилтнууд!$G5)</f>
        <v>8500000</v>
      </c>
      <c r="E5" s="43" t="n">
        <f aca="false">IF($B5="","",Тохиргоо!$C$8)</f>
        <v>11</v>
      </c>
      <c r="F5" s="44" t="n">
        <v>11</v>
      </c>
      <c r="G5" s="45" t="n">
        <f aca="false">IF($B5="","",Тохиргоо!$C$9)</f>
        <v>0.4</v>
      </c>
      <c r="H5" s="46" t="n">
        <f aca="false">IF($B5="","",IF(E5=0,0,ROUNDDOWN(D5*G5*F5/E5,-2)))</f>
        <v>3400000</v>
      </c>
      <c r="I5" s="11"/>
    </row>
    <row r="6" customFormat="false" ht="15" hidden="false" customHeight="false" outlineLevel="0" collapsed="false">
      <c r="A6" s="33" t="n">
        <f aca="false">IF($B6="","",ROW()-4)</f>
        <v>2</v>
      </c>
      <c r="B6" s="41" t="str">
        <f aca="false">IF(Ажилтнууд!$C6="","",LEFT(Ажилтнууд!$B6,1)&amp;"."&amp;Ажилтнууд!$C6)</f>
        <v>С.Сарангэрэл</v>
      </c>
      <c r="C6" s="41" t="str">
        <f aca="false">IF($B6="","",Ажилтнууд!$F6)</f>
        <v>Ерөнхий нягтлан бодогч</v>
      </c>
      <c r="D6" s="42" t="n">
        <f aca="false">IF($B6="","",Ажилтнууд!$G6)</f>
        <v>3200000</v>
      </c>
      <c r="E6" s="43" t="n">
        <f aca="false">IF($B6="","",Тохиргоо!$C$8)</f>
        <v>11</v>
      </c>
      <c r="F6" s="44" t="n">
        <v>11</v>
      </c>
      <c r="G6" s="45" t="n">
        <f aca="false">IF($B6="","",Тохиргоо!$C$9)</f>
        <v>0.4</v>
      </c>
      <c r="H6" s="46" t="n">
        <f aca="false">IF($B6="","",IF(E6=0,0,ROUNDDOWN(D6*G6*F6/E6,-2)))</f>
        <v>1280000</v>
      </c>
      <c r="I6" s="11"/>
    </row>
    <row r="7" customFormat="false" ht="15" hidden="false" customHeight="false" outlineLevel="0" collapsed="false">
      <c r="A7" s="33" t="n">
        <f aca="false">IF($B7="","",ROW()-4)</f>
        <v>3</v>
      </c>
      <c r="B7" s="41" t="str">
        <f aca="false">IF(Ажилтнууд!$C7="","",LEFT(Ажилтнууд!$B7,1)&amp;"."&amp;Ажилтнууд!$C7)</f>
        <v>Б.Энхжин</v>
      </c>
      <c r="C7" s="41" t="str">
        <f aca="false">IF($B7="","",Ажилтнууд!$F7)</f>
        <v>Борлуулалтын менежер</v>
      </c>
      <c r="D7" s="42" t="n">
        <f aca="false">IF($B7="","",Ажилтнууд!$G7)</f>
        <v>2400000</v>
      </c>
      <c r="E7" s="43" t="n">
        <f aca="false">IF($B7="","",Тохиргоо!$C$8)</f>
        <v>11</v>
      </c>
      <c r="F7" s="44" t="n">
        <v>11</v>
      </c>
      <c r="G7" s="45" t="n">
        <f aca="false">IF($B7="","",Тохиргоо!$C$9)</f>
        <v>0.4</v>
      </c>
      <c r="H7" s="46" t="n">
        <f aca="false">IF($B7="","",IF(E7=0,0,ROUNDDOWN(D7*G7*F7/E7,-2)))</f>
        <v>960000</v>
      </c>
      <c r="I7" s="11"/>
    </row>
    <row r="8" customFormat="false" ht="15" hidden="false" customHeight="false" outlineLevel="0" collapsed="false">
      <c r="A8" s="33" t="n">
        <f aca="false">IF($B8="","",ROW()-4)</f>
        <v>4</v>
      </c>
      <c r="B8" s="41" t="str">
        <f aca="false">IF(Ажилтнууд!$C8="","",LEFT(Ажилтнууд!$B8,1)&amp;"."&amp;Ажилтнууд!$C8)</f>
        <v>О.Мөнхзул</v>
      </c>
      <c r="C8" s="41" t="str">
        <f aca="false">IF($B8="","",Ажилтнууд!$F8)</f>
        <v>Нягтлан бодогч</v>
      </c>
      <c r="D8" s="42" t="n">
        <f aca="false">IF($B8="","",Ажилтнууд!$G8)</f>
        <v>1900000</v>
      </c>
      <c r="E8" s="43" t="n">
        <f aca="false">IF($B8="","",Тохиргоо!$C$8)</f>
        <v>11</v>
      </c>
      <c r="F8" s="44" t="n">
        <v>9</v>
      </c>
      <c r="G8" s="45" t="n">
        <f aca="false">IF($B8="","",Тохиргоо!$C$9)</f>
        <v>0.4</v>
      </c>
      <c r="H8" s="46" t="n">
        <f aca="false">IF($B8="","",IF(E8=0,0,ROUNDDOWN(D8*G8*F8/E8,-2)))</f>
        <v>621800</v>
      </c>
      <c r="I8" s="11"/>
    </row>
    <row r="9" customFormat="false" ht="15" hidden="false" customHeight="false" outlineLevel="0" collapsed="false">
      <c r="A9" s="33" t="n">
        <f aca="false">IF($B9="","",ROW()-4)</f>
        <v>5</v>
      </c>
      <c r="B9" s="41" t="str">
        <f aca="false">IF(Ажилтнууд!$C9="","",LEFT(Ажилтнууд!$B9,1)&amp;"."&amp;Ажилтнууд!$C9)</f>
        <v>П.Тэмүүлэн</v>
      </c>
      <c r="C9" s="41" t="str">
        <f aca="false">IF($B9="","",Ажилтнууд!$F9)</f>
        <v>Нярав</v>
      </c>
      <c r="D9" s="42" t="n">
        <f aca="false">IF($B9="","",Ажилтнууд!$G9)</f>
        <v>1600000</v>
      </c>
      <c r="E9" s="43" t="n">
        <f aca="false">IF($B9="","",Тохиргоо!$C$8)</f>
        <v>11</v>
      </c>
      <c r="F9" s="44" t="n">
        <v>11</v>
      </c>
      <c r="G9" s="45" t="n">
        <f aca="false">IF($B9="","",Тохиргоо!$C$9)</f>
        <v>0.4</v>
      </c>
      <c r="H9" s="46" t="n">
        <f aca="false">IF($B9="","",IF(E9=0,0,ROUNDDOWN(D9*G9*F9/E9,-2)))</f>
        <v>640000</v>
      </c>
      <c r="I9" s="11"/>
    </row>
    <row r="10" customFormat="false" ht="15" hidden="false" customHeight="false" outlineLevel="0" collapsed="false">
      <c r="A10" s="33" t="n">
        <f aca="false">IF($B10="","",ROW()-4)</f>
        <v>6</v>
      </c>
      <c r="B10" s="41" t="str">
        <f aca="false">IF(Ажилтнууд!$C10="","",LEFT(Ажилтнууд!$B10,1)&amp;"."&amp;Ажилтнууд!$C10)</f>
        <v>Л.Баатар</v>
      </c>
      <c r="C10" s="41" t="str">
        <f aca="false">IF($B10="","",Ажилтнууд!$F10)</f>
        <v>Жолооч</v>
      </c>
      <c r="D10" s="42" t="n">
        <f aca="false">IF($B10="","",Ажилтнууд!$G10)</f>
        <v>1400000</v>
      </c>
      <c r="E10" s="43" t="n">
        <f aca="false">IF($B10="","",Тохиргоо!$C$8)</f>
        <v>11</v>
      </c>
      <c r="F10" s="44" t="n">
        <v>11</v>
      </c>
      <c r="G10" s="45" t="n">
        <f aca="false">IF($B10="","",Тохиргоо!$C$9)</f>
        <v>0.4</v>
      </c>
      <c r="H10" s="46" t="n">
        <f aca="false">IF($B10="","",IF(E10=0,0,ROUNDDOWN(D10*G10*F10/E10,-2)))</f>
        <v>560000</v>
      </c>
      <c r="I10" s="11"/>
    </row>
    <row r="11" customFormat="false" ht="15" hidden="false" customHeight="false" outlineLevel="0" collapsed="false">
      <c r="A11" s="33" t="n">
        <f aca="false">IF($B11="","",ROW()-4)</f>
        <v>7</v>
      </c>
      <c r="B11" s="41" t="str">
        <f aca="false">IF(Ажилтнууд!$C11="","",LEFT(Ажилтнууд!$B11,1)&amp;"."&amp;Ажилтнууд!$C11)</f>
        <v>Д.Оюун</v>
      </c>
      <c r="C11" s="41" t="str">
        <f aca="false">IF($B11="","",Ажилтнууд!$F11)</f>
        <v>Үйлчлэгч</v>
      </c>
      <c r="D11" s="42" t="n">
        <f aca="false">IF($B11="","",Ажилтнууд!$G11)</f>
        <v>900000</v>
      </c>
      <c r="E11" s="43" t="n">
        <f aca="false">IF($B11="","",Тохиргоо!$C$8)</f>
        <v>11</v>
      </c>
      <c r="F11" s="44" t="n">
        <v>9</v>
      </c>
      <c r="G11" s="45" t="n">
        <f aca="false">IF($B11="","",Тохиргоо!$C$9)</f>
        <v>0.4</v>
      </c>
      <c r="H11" s="46" t="n">
        <f aca="false">IF($B11="","",IF(E11=0,0,ROUNDDOWN(D11*G11*F11/E11,-2)))</f>
        <v>294500</v>
      </c>
      <c r="I11" s="11"/>
    </row>
    <row r="12" customFormat="false" ht="15" hidden="false" customHeight="false" outlineLevel="0" collapsed="false">
      <c r="A12" s="33" t="n">
        <f aca="false">IF($B12="","",ROW()-4)</f>
        <v>8</v>
      </c>
      <c r="B12" s="41" t="str">
        <f aca="false">IF(Ажилтнууд!$C12="","",LEFT(Ажилтнууд!$B12,1)&amp;"."&amp;Ажилтнууд!$C12)</f>
        <v>Ц.Ариунаа</v>
      </c>
      <c r="C12" s="41" t="str">
        <f aca="false">IF($B12="","",Ажилтнууд!$F12)</f>
        <v>Оператор</v>
      </c>
      <c r="D12" s="42" t="n">
        <f aca="false">IF($B12="","",Ажилтнууд!$G12)</f>
        <v>1300000</v>
      </c>
      <c r="E12" s="43" t="n">
        <f aca="false">IF($B12="","",Тохиргоо!$C$8)</f>
        <v>11</v>
      </c>
      <c r="F12" s="44" t="n">
        <v>11</v>
      </c>
      <c r="G12" s="45" t="n">
        <f aca="false">IF($B12="","",Тохиргоо!$C$9)</f>
        <v>0.4</v>
      </c>
      <c r="H12" s="46" t="n">
        <f aca="false">IF($B12="","",IF(E12=0,0,ROUNDDOWN(D12*G12*F12/E12,-2)))</f>
        <v>520000</v>
      </c>
      <c r="I12" s="11"/>
    </row>
    <row r="13" customFormat="false" ht="15" hidden="false" customHeight="false" outlineLevel="0" collapsed="false">
      <c r="A13" s="33" t="str">
        <f aca="false">IF($B13="","",ROW()-4)</f>
        <v/>
      </c>
      <c r="B13" s="41" t="str">
        <f aca="false">IF(Ажилтнууд!$C13="","",LEFT(Ажилтнууд!$B13,1)&amp;"."&amp;Ажилтнууд!$C13)</f>
        <v/>
      </c>
      <c r="C13" s="41" t="str">
        <f aca="false">IF($B13="","",Ажилтнууд!$F13)</f>
        <v/>
      </c>
      <c r="D13" s="42" t="str">
        <f aca="false">IF($B13="","",Ажилтнууд!$G13)</f>
        <v/>
      </c>
      <c r="E13" s="43" t="str">
        <f aca="false">IF($B13="","",Тохиргоо!$C$8)</f>
        <v/>
      </c>
      <c r="F13" s="44"/>
      <c r="G13" s="45" t="str">
        <f aca="false">IF($B13="","",Тохиргоо!$C$9)</f>
        <v/>
      </c>
      <c r="H13" s="46" t="str">
        <f aca="false">IF($B13="","",IF(E13=0,0,ROUNDDOWN(D13*G13*F13/E13,-2)))</f>
        <v/>
      </c>
      <c r="I13" s="11"/>
    </row>
    <row r="14" customFormat="false" ht="15" hidden="false" customHeight="false" outlineLevel="0" collapsed="false">
      <c r="A14" s="33" t="str">
        <f aca="false">IF($B14="","",ROW()-4)</f>
        <v/>
      </c>
      <c r="B14" s="41" t="str">
        <f aca="false">IF(Ажилтнууд!$C14="","",LEFT(Ажилтнууд!$B14,1)&amp;"."&amp;Ажилтнууд!$C14)</f>
        <v/>
      </c>
      <c r="C14" s="41" t="str">
        <f aca="false">IF($B14="","",Ажилтнууд!$F14)</f>
        <v/>
      </c>
      <c r="D14" s="42" t="str">
        <f aca="false">IF($B14="","",Ажилтнууд!$G14)</f>
        <v/>
      </c>
      <c r="E14" s="43" t="str">
        <f aca="false">IF($B14="","",Тохиргоо!$C$8)</f>
        <v/>
      </c>
      <c r="F14" s="44"/>
      <c r="G14" s="45" t="str">
        <f aca="false">IF($B14="","",Тохиргоо!$C$9)</f>
        <v/>
      </c>
      <c r="H14" s="46" t="str">
        <f aca="false">IF($B14="","",IF(E14=0,0,ROUNDDOWN(D14*G14*F14/E14,-2)))</f>
        <v/>
      </c>
      <c r="I14" s="11"/>
    </row>
    <row r="15" customFormat="false" ht="15" hidden="false" customHeight="false" outlineLevel="0" collapsed="false">
      <c r="A15" s="33" t="str">
        <f aca="false">IF($B15="","",ROW()-4)</f>
        <v/>
      </c>
      <c r="B15" s="41" t="str">
        <f aca="false">IF(Ажилтнууд!$C15="","",LEFT(Ажилтнууд!$B15,1)&amp;"."&amp;Ажилтнууд!$C15)</f>
        <v/>
      </c>
      <c r="C15" s="41" t="str">
        <f aca="false">IF($B15="","",Ажилтнууд!$F15)</f>
        <v/>
      </c>
      <c r="D15" s="42" t="str">
        <f aca="false">IF($B15="","",Ажилтнууд!$G15)</f>
        <v/>
      </c>
      <c r="E15" s="43" t="str">
        <f aca="false">IF($B15="","",Тохиргоо!$C$8)</f>
        <v/>
      </c>
      <c r="F15" s="44"/>
      <c r="G15" s="45" t="str">
        <f aca="false">IF($B15="","",Тохиргоо!$C$9)</f>
        <v/>
      </c>
      <c r="H15" s="46" t="str">
        <f aca="false">IF($B15="","",IF(E15=0,0,ROUNDDOWN(D15*G15*F15/E15,-2)))</f>
        <v/>
      </c>
      <c r="I15" s="11"/>
    </row>
    <row r="16" customFormat="false" ht="15" hidden="false" customHeight="false" outlineLevel="0" collapsed="false">
      <c r="A16" s="33" t="str">
        <f aca="false">IF($B16="","",ROW()-4)</f>
        <v/>
      </c>
      <c r="B16" s="41" t="str">
        <f aca="false">IF(Ажилтнууд!$C16="","",LEFT(Ажилтнууд!$B16,1)&amp;"."&amp;Ажилтнууд!$C16)</f>
        <v/>
      </c>
      <c r="C16" s="41" t="str">
        <f aca="false">IF($B16="","",Ажилтнууд!$F16)</f>
        <v/>
      </c>
      <c r="D16" s="42" t="str">
        <f aca="false">IF($B16="","",Ажилтнууд!$G16)</f>
        <v/>
      </c>
      <c r="E16" s="43" t="str">
        <f aca="false">IF($B16="","",Тохиргоо!$C$8)</f>
        <v/>
      </c>
      <c r="F16" s="44"/>
      <c r="G16" s="45" t="str">
        <f aca="false">IF($B16="","",Тохиргоо!$C$9)</f>
        <v/>
      </c>
      <c r="H16" s="46" t="str">
        <f aca="false">IF($B16="","",IF(E16=0,0,ROUNDDOWN(D16*G16*F16/E16,-2)))</f>
        <v/>
      </c>
      <c r="I16" s="11"/>
    </row>
    <row r="17" customFormat="false" ht="15" hidden="false" customHeight="false" outlineLevel="0" collapsed="false">
      <c r="A17" s="33" t="str">
        <f aca="false">IF($B17="","",ROW()-4)</f>
        <v/>
      </c>
      <c r="B17" s="41" t="str">
        <f aca="false">IF(Ажилтнууд!$C17="","",LEFT(Ажилтнууд!$B17,1)&amp;"."&amp;Ажилтнууд!$C17)</f>
        <v/>
      </c>
      <c r="C17" s="41" t="str">
        <f aca="false">IF($B17="","",Ажилтнууд!$F17)</f>
        <v/>
      </c>
      <c r="D17" s="42" t="str">
        <f aca="false">IF($B17="","",Ажилтнууд!$G17)</f>
        <v/>
      </c>
      <c r="E17" s="43" t="str">
        <f aca="false">IF($B17="","",Тохиргоо!$C$8)</f>
        <v/>
      </c>
      <c r="F17" s="44"/>
      <c r="G17" s="45" t="str">
        <f aca="false">IF($B17="","",Тохиргоо!$C$9)</f>
        <v/>
      </c>
      <c r="H17" s="46" t="str">
        <f aca="false">IF($B17="","",IF(E17=0,0,ROUNDDOWN(D17*G17*F17/E17,-2)))</f>
        <v/>
      </c>
      <c r="I17" s="11"/>
    </row>
    <row r="18" customFormat="false" ht="15" hidden="false" customHeight="false" outlineLevel="0" collapsed="false">
      <c r="A18" s="33" t="str">
        <f aca="false">IF($B18="","",ROW()-4)</f>
        <v/>
      </c>
      <c r="B18" s="41" t="str">
        <f aca="false">IF(Ажилтнууд!$C18="","",LEFT(Ажилтнууд!$B18,1)&amp;"."&amp;Ажилтнууд!$C18)</f>
        <v/>
      </c>
      <c r="C18" s="41" t="str">
        <f aca="false">IF($B18="","",Ажилтнууд!$F18)</f>
        <v/>
      </c>
      <c r="D18" s="42" t="str">
        <f aca="false">IF($B18="","",Ажилтнууд!$G18)</f>
        <v/>
      </c>
      <c r="E18" s="43" t="str">
        <f aca="false">IF($B18="","",Тохиргоо!$C$8)</f>
        <v/>
      </c>
      <c r="F18" s="44"/>
      <c r="G18" s="45" t="str">
        <f aca="false">IF($B18="","",Тохиргоо!$C$9)</f>
        <v/>
      </c>
      <c r="H18" s="46" t="str">
        <f aca="false">IF($B18="","",IF(E18=0,0,ROUNDDOWN(D18*G18*F18/E18,-2)))</f>
        <v/>
      </c>
      <c r="I18" s="11"/>
    </row>
    <row r="19" customFormat="false" ht="15" hidden="false" customHeight="false" outlineLevel="0" collapsed="false">
      <c r="A19" s="33" t="str">
        <f aca="false">IF($B19="","",ROW()-4)</f>
        <v/>
      </c>
      <c r="B19" s="41" t="str">
        <f aca="false">IF(Ажилтнууд!$C19="","",LEFT(Ажилтнууд!$B19,1)&amp;"."&amp;Ажилтнууд!$C19)</f>
        <v/>
      </c>
      <c r="C19" s="41" t="str">
        <f aca="false">IF($B19="","",Ажилтнууд!$F19)</f>
        <v/>
      </c>
      <c r="D19" s="42" t="str">
        <f aca="false">IF($B19="","",Ажилтнууд!$G19)</f>
        <v/>
      </c>
      <c r="E19" s="43" t="str">
        <f aca="false">IF($B19="","",Тохиргоо!$C$8)</f>
        <v/>
      </c>
      <c r="F19" s="44"/>
      <c r="G19" s="45" t="str">
        <f aca="false">IF($B19="","",Тохиргоо!$C$9)</f>
        <v/>
      </c>
      <c r="H19" s="46" t="str">
        <f aca="false">IF($B19="","",IF(E19=0,0,ROUNDDOWN(D19*G19*F19/E19,-2)))</f>
        <v/>
      </c>
      <c r="I19" s="11"/>
    </row>
    <row r="20" customFormat="false" ht="15" hidden="false" customHeight="false" outlineLevel="0" collapsed="false">
      <c r="A20" s="33" t="str">
        <f aca="false">IF($B20="","",ROW()-4)</f>
        <v/>
      </c>
      <c r="B20" s="41" t="str">
        <f aca="false">IF(Ажилтнууд!$C20="","",LEFT(Ажилтнууд!$B20,1)&amp;"."&amp;Ажилтнууд!$C20)</f>
        <v/>
      </c>
      <c r="C20" s="41" t="str">
        <f aca="false">IF($B20="","",Ажилтнууд!$F20)</f>
        <v/>
      </c>
      <c r="D20" s="42" t="str">
        <f aca="false">IF($B20="","",Ажилтнууд!$G20)</f>
        <v/>
      </c>
      <c r="E20" s="43" t="str">
        <f aca="false">IF($B20="","",Тохиргоо!$C$8)</f>
        <v/>
      </c>
      <c r="F20" s="44"/>
      <c r="G20" s="45" t="str">
        <f aca="false">IF($B20="","",Тохиргоо!$C$9)</f>
        <v/>
      </c>
      <c r="H20" s="46" t="str">
        <f aca="false">IF($B20="","",IF(E20=0,0,ROUNDDOWN(D20*G20*F20/E20,-2)))</f>
        <v/>
      </c>
      <c r="I20" s="11"/>
    </row>
    <row r="21" customFormat="false" ht="15" hidden="false" customHeight="false" outlineLevel="0" collapsed="false">
      <c r="A21" s="33" t="str">
        <f aca="false">IF($B21="","",ROW()-4)</f>
        <v/>
      </c>
      <c r="B21" s="41" t="str">
        <f aca="false">IF(Ажилтнууд!$C21="","",LEFT(Ажилтнууд!$B21,1)&amp;"."&amp;Ажилтнууд!$C21)</f>
        <v/>
      </c>
      <c r="C21" s="41" t="str">
        <f aca="false">IF($B21="","",Ажилтнууд!$F21)</f>
        <v/>
      </c>
      <c r="D21" s="42" t="str">
        <f aca="false">IF($B21="","",Ажилтнууд!$G21)</f>
        <v/>
      </c>
      <c r="E21" s="43" t="str">
        <f aca="false">IF($B21="","",Тохиргоо!$C$8)</f>
        <v/>
      </c>
      <c r="F21" s="44"/>
      <c r="G21" s="45" t="str">
        <f aca="false">IF($B21="","",Тохиргоо!$C$9)</f>
        <v/>
      </c>
      <c r="H21" s="46" t="str">
        <f aca="false">IF($B21="","",IF(E21=0,0,ROUNDDOWN(D21*G21*F21/E21,-2)))</f>
        <v/>
      </c>
      <c r="I21" s="11"/>
    </row>
    <row r="22" customFormat="false" ht="15" hidden="false" customHeight="false" outlineLevel="0" collapsed="false">
      <c r="A22" s="33" t="str">
        <f aca="false">IF($B22="","",ROW()-4)</f>
        <v/>
      </c>
      <c r="B22" s="41" t="str">
        <f aca="false">IF(Ажилтнууд!$C22="","",LEFT(Ажилтнууд!$B22,1)&amp;"."&amp;Ажилтнууд!$C22)</f>
        <v/>
      </c>
      <c r="C22" s="41" t="str">
        <f aca="false">IF($B22="","",Ажилтнууд!$F22)</f>
        <v/>
      </c>
      <c r="D22" s="42" t="str">
        <f aca="false">IF($B22="","",Ажилтнууд!$G22)</f>
        <v/>
      </c>
      <c r="E22" s="43" t="str">
        <f aca="false">IF($B22="","",Тохиргоо!$C$8)</f>
        <v/>
      </c>
      <c r="F22" s="44"/>
      <c r="G22" s="45" t="str">
        <f aca="false">IF($B22="","",Тохиргоо!$C$9)</f>
        <v/>
      </c>
      <c r="H22" s="46" t="str">
        <f aca="false">IF($B22="","",IF(E22=0,0,ROUNDDOWN(D22*G22*F22/E22,-2)))</f>
        <v/>
      </c>
      <c r="I22" s="11"/>
    </row>
    <row r="23" customFormat="false" ht="15" hidden="false" customHeight="false" outlineLevel="0" collapsed="false">
      <c r="A23" s="33" t="str">
        <f aca="false">IF($B23="","",ROW()-4)</f>
        <v/>
      </c>
      <c r="B23" s="41" t="str">
        <f aca="false">IF(Ажилтнууд!$C23="","",LEFT(Ажилтнууд!$B23,1)&amp;"."&amp;Ажилтнууд!$C23)</f>
        <v/>
      </c>
      <c r="C23" s="41" t="str">
        <f aca="false">IF($B23="","",Ажилтнууд!$F23)</f>
        <v/>
      </c>
      <c r="D23" s="42" t="str">
        <f aca="false">IF($B23="","",Ажилтнууд!$G23)</f>
        <v/>
      </c>
      <c r="E23" s="43" t="str">
        <f aca="false">IF($B23="","",Тохиргоо!$C$8)</f>
        <v/>
      </c>
      <c r="F23" s="44"/>
      <c r="G23" s="45" t="str">
        <f aca="false">IF($B23="","",Тохиргоо!$C$9)</f>
        <v/>
      </c>
      <c r="H23" s="46" t="str">
        <f aca="false">IF($B23="","",IF(E23=0,0,ROUNDDOWN(D23*G23*F23/E23,-2)))</f>
        <v/>
      </c>
      <c r="I23" s="11"/>
    </row>
    <row r="24" customFormat="false" ht="15" hidden="false" customHeight="false" outlineLevel="0" collapsed="false">
      <c r="A24" s="33" t="str">
        <f aca="false">IF($B24="","",ROW()-4)</f>
        <v/>
      </c>
      <c r="B24" s="41" t="str">
        <f aca="false">IF(Ажилтнууд!$C24="","",LEFT(Ажилтнууд!$B24,1)&amp;"."&amp;Ажилтнууд!$C24)</f>
        <v/>
      </c>
      <c r="C24" s="41" t="str">
        <f aca="false">IF($B24="","",Ажилтнууд!$F24)</f>
        <v/>
      </c>
      <c r="D24" s="42" t="str">
        <f aca="false">IF($B24="","",Ажилтнууд!$G24)</f>
        <v/>
      </c>
      <c r="E24" s="43" t="str">
        <f aca="false">IF($B24="","",Тохиргоо!$C$8)</f>
        <v/>
      </c>
      <c r="F24" s="44"/>
      <c r="G24" s="45" t="str">
        <f aca="false">IF($B24="","",Тохиргоо!$C$9)</f>
        <v/>
      </c>
      <c r="H24" s="46" t="str">
        <f aca="false">IF($B24="","",IF(E24=0,0,ROUNDDOWN(D24*G24*F24/E24,-2)))</f>
        <v/>
      </c>
      <c r="I24" s="11"/>
    </row>
    <row r="25" customFormat="false" ht="15" hidden="false" customHeight="false" outlineLevel="0" collapsed="false">
      <c r="A25" s="33" t="str">
        <f aca="false">IF($B25="","",ROW()-4)</f>
        <v/>
      </c>
      <c r="B25" s="41" t="str">
        <f aca="false">IF(Ажилтнууд!$C25="","",LEFT(Ажилтнууд!$B25,1)&amp;"."&amp;Ажилтнууд!$C25)</f>
        <v/>
      </c>
      <c r="C25" s="41" t="str">
        <f aca="false">IF($B25="","",Ажилтнууд!$F25)</f>
        <v/>
      </c>
      <c r="D25" s="42" t="str">
        <f aca="false">IF($B25="","",Ажилтнууд!$G25)</f>
        <v/>
      </c>
      <c r="E25" s="43" t="str">
        <f aca="false">IF($B25="","",Тохиргоо!$C$8)</f>
        <v/>
      </c>
      <c r="F25" s="44"/>
      <c r="G25" s="45" t="str">
        <f aca="false">IF($B25="","",Тохиргоо!$C$9)</f>
        <v/>
      </c>
      <c r="H25" s="46" t="str">
        <f aca="false">IF($B25="","",IF(E25=0,0,ROUNDDOWN(D25*G25*F25/E25,-2)))</f>
        <v/>
      </c>
      <c r="I25" s="11"/>
    </row>
    <row r="26" customFormat="false" ht="15" hidden="false" customHeight="false" outlineLevel="0" collapsed="false">
      <c r="A26" s="33" t="str">
        <f aca="false">IF($B26="","",ROW()-4)</f>
        <v/>
      </c>
      <c r="B26" s="41" t="str">
        <f aca="false">IF(Ажилтнууд!$C26="","",LEFT(Ажилтнууд!$B26,1)&amp;"."&amp;Ажилтнууд!$C26)</f>
        <v/>
      </c>
      <c r="C26" s="41" t="str">
        <f aca="false">IF($B26="","",Ажилтнууд!$F26)</f>
        <v/>
      </c>
      <c r="D26" s="42" t="str">
        <f aca="false">IF($B26="","",Ажилтнууд!$G26)</f>
        <v/>
      </c>
      <c r="E26" s="43" t="str">
        <f aca="false">IF($B26="","",Тохиргоо!$C$8)</f>
        <v/>
      </c>
      <c r="F26" s="44"/>
      <c r="G26" s="45" t="str">
        <f aca="false">IF($B26="","",Тохиргоо!$C$9)</f>
        <v/>
      </c>
      <c r="H26" s="46" t="str">
        <f aca="false">IF($B26="","",IF(E26=0,0,ROUNDDOWN(D26*G26*F26/E26,-2)))</f>
        <v/>
      </c>
      <c r="I26" s="11"/>
    </row>
    <row r="27" customFormat="false" ht="15" hidden="false" customHeight="false" outlineLevel="0" collapsed="false">
      <c r="A27" s="33" t="str">
        <f aca="false">IF($B27="","",ROW()-4)</f>
        <v/>
      </c>
      <c r="B27" s="41" t="str">
        <f aca="false">IF(Ажилтнууд!$C27="","",LEFT(Ажилтнууд!$B27,1)&amp;"."&amp;Ажилтнууд!$C27)</f>
        <v/>
      </c>
      <c r="C27" s="41" t="str">
        <f aca="false">IF($B27="","",Ажилтнууд!$F27)</f>
        <v/>
      </c>
      <c r="D27" s="42" t="str">
        <f aca="false">IF($B27="","",Ажилтнууд!$G27)</f>
        <v/>
      </c>
      <c r="E27" s="43" t="str">
        <f aca="false">IF($B27="","",Тохиргоо!$C$8)</f>
        <v/>
      </c>
      <c r="F27" s="44"/>
      <c r="G27" s="45" t="str">
        <f aca="false">IF($B27="","",Тохиргоо!$C$9)</f>
        <v/>
      </c>
      <c r="H27" s="46" t="str">
        <f aca="false">IF($B27="","",IF(E27=0,0,ROUNDDOWN(D27*G27*F27/E27,-2)))</f>
        <v/>
      </c>
      <c r="I27" s="11"/>
    </row>
    <row r="28" customFormat="false" ht="15" hidden="false" customHeight="false" outlineLevel="0" collapsed="false">
      <c r="A28" s="33" t="str">
        <f aca="false">IF($B28="","",ROW()-4)</f>
        <v/>
      </c>
      <c r="B28" s="41" t="str">
        <f aca="false">IF(Ажилтнууд!$C28="","",LEFT(Ажилтнууд!$B28,1)&amp;"."&amp;Ажилтнууд!$C28)</f>
        <v/>
      </c>
      <c r="C28" s="41" t="str">
        <f aca="false">IF($B28="","",Ажилтнууд!$F28)</f>
        <v/>
      </c>
      <c r="D28" s="42" t="str">
        <f aca="false">IF($B28="","",Ажилтнууд!$G28)</f>
        <v/>
      </c>
      <c r="E28" s="43" t="str">
        <f aca="false">IF($B28="","",Тохиргоо!$C$8)</f>
        <v/>
      </c>
      <c r="F28" s="44"/>
      <c r="G28" s="45" t="str">
        <f aca="false">IF($B28="","",Тохиргоо!$C$9)</f>
        <v/>
      </c>
      <c r="H28" s="46" t="str">
        <f aca="false">IF($B28="","",IF(E28=0,0,ROUNDDOWN(D28*G28*F28/E28,-2)))</f>
        <v/>
      </c>
      <c r="I28" s="11"/>
    </row>
    <row r="29" customFormat="false" ht="15" hidden="false" customHeight="false" outlineLevel="0" collapsed="false">
      <c r="A29" s="33" t="str">
        <f aca="false">IF($B29="","",ROW()-4)</f>
        <v/>
      </c>
      <c r="B29" s="41" t="str">
        <f aca="false">IF(Ажилтнууд!$C29="","",LEFT(Ажилтнууд!$B29,1)&amp;"."&amp;Ажилтнууд!$C29)</f>
        <v/>
      </c>
      <c r="C29" s="41" t="str">
        <f aca="false">IF($B29="","",Ажилтнууд!$F29)</f>
        <v/>
      </c>
      <c r="D29" s="42" t="str">
        <f aca="false">IF($B29="","",Ажилтнууд!$G29)</f>
        <v/>
      </c>
      <c r="E29" s="43" t="str">
        <f aca="false">IF($B29="","",Тохиргоо!$C$8)</f>
        <v/>
      </c>
      <c r="F29" s="44"/>
      <c r="G29" s="45" t="str">
        <f aca="false">IF($B29="","",Тохиргоо!$C$9)</f>
        <v/>
      </c>
      <c r="H29" s="46" t="str">
        <f aca="false">IF($B29="","",IF(E29=0,0,ROUNDDOWN(D29*G29*F29/E29,-2)))</f>
        <v/>
      </c>
      <c r="I29" s="11"/>
    </row>
    <row r="30" customFormat="false" ht="15" hidden="false" customHeight="false" outlineLevel="0" collapsed="false">
      <c r="A30" s="33" t="str">
        <f aca="false">IF($B30="","",ROW()-4)</f>
        <v/>
      </c>
      <c r="B30" s="41" t="str">
        <f aca="false">IF(Ажилтнууд!$C30="","",LEFT(Ажилтнууд!$B30,1)&amp;"."&amp;Ажилтнууд!$C30)</f>
        <v/>
      </c>
      <c r="C30" s="41" t="str">
        <f aca="false">IF($B30="","",Ажилтнууд!$F30)</f>
        <v/>
      </c>
      <c r="D30" s="42" t="str">
        <f aca="false">IF($B30="","",Ажилтнууд!$G30)</f>
        <v/>
      </c>
      <c r="E30" s="43" t="str">
        <f aca="false">IF($B30="","",Тохиргоо!$C$8)</f>
        <v/>
      </c>
      <c r="F30" s="44"/>
      <c r="G30" s="45" t="str">
        <f aca="false">IF($B30="","",Тохиргоо!$C$9)</f>
        <v/>
      </c>
      <c r="H30" s="46" t="str">
        <f aca="false">IF($B30="","",IF(E30=0,0,ROUNDDOWN(D30*G30*F30/E30,-2)))</f>
        <v/>
      </c>
      <c r="I30" s="11"/>
    </row>
    <row r="31" customFormat="false" ht="15" hidden="false" customHeight="false" outlineLevel="0" collapsed="false">
      <c r="A31" s="33" t="str">
        <f aca="false">IF($B31="","",ROW()-4)</f>
        <v/>
      </c>
      <c r="B31" s="41" t="str">
        <f aca="false">IF(Ажилтнууд!$C31="","",LEFT(Ажилтнууд!$B31,1)&amp;"."&amp;Ажилтнууд!$C31)</f>
        <v/>
      </c>
      <c r="C31" s="41" t="str">
        <f aca="false">IF($B31="","",Ажилтнууд!$F31)</f>
        <v/>
      </c>
      <c r="D31" s="42" t="str">
        <f aca="false">IF($B31="","",Ажилтнууд!$G31)</f>
        <v/>
      </c>
      <c r="E31" s="43" t="str">
        <f aca="false">IF($B31="","",Тохиргоо!$C$8)</f>
        <v/>
      </c>
      <c r="F31" s="44"/>
      <c r="G31" s="45" t="str">
        <f aca="false">IF($B31="","",Тохиргоо!$C$9)</f>
        <v/>
      </c>
      <c r="H31" s="46" t="str">
        <f aca="false">IF($B31="","",IF(E31=0,0,ROUNDDOWN(D31*G31*F31/E31,-2)))</f>
        <v/>
      </c>
      <c r="I31" s="11"/>
    </row>
    <row r="32" customFormat="false" ht="15" hidden="false" customHeight="false" outlineLevel="0" collapsed="false">
      <c r="A32" s="33" t="str">
        <f aca="false">IF($B32="","",ROW()-4)</f>
        <v/>
      </c>
      <c r="B32" s="41" t="str">
        <f aca="false">IF(Ажилтнууд!$C32="","",LEFT(Ажилтнууд!$B32,1)&amp;"."&amp;Ажилтнууд!$C32)</f>
        <v/>
      </c>
      <c r="C32" s="41" t="str">
        <f aca="false">IF($B32="","",Ажилтнууд!$F32)</f>
        <v/>
      </c>
      <c r="D32" s="42" t="str">
        <f aca="false">IF($B32="","",Ажилтнууд!$G32)</f>
        <v/>
      </c>
      <c r="E32" s="43" t="str">
        <f aca="false">IF($B32="","",Тохиргоо!$C$8)</f>
        <v/>
      </c>
      <c r="F32" s="44"/>
      <c r="G32" s="45" t="str">
        <f aca="false">IF($B32="","",Тохиргоо!$C$9)</f>
        <v/>
      </c>
      <c r="H32" s="46" t="str">
        <f aca="false">IF($B32="","",IF(E32=0,0,ROUNDDOWN(D32*G32*F32/E32,-2)))</f>
        <v/>
      </c>
      <c r="I32" s="11"/>
    </row>
    <row r="33" customFormat="false" ht="15" hidden="false" customHeight="false" outlineLevel="0" collapsed="false">
      <c r="A33" s="33" t="str">
        <f aca="false">IF($B33="","",ROW()-4)</f>
        <v/>
      </c>
      <c r="B33" s="41" t="str">
        <f aca="false">IF(Ажилтнууд!$C33="","",LEFT(Ажилтнууд!$B33,1)&amp;"."&amp;Ажилтнууд!$C33)</f>
        <v/>
      </c>
      <c r="C33" s="41" t="str">
        <f aca="false">IF($B33="","",Ажилтнууд!$F33)</f>
        <v/>
      </c>
      <c r="D33" s="42" t="str">
        <f aca="false">IF($B33="","",Ажилтнууд!$G33)</f>
        <v/>
      </c>
      <c r="E33" s="43" t="str">
        <f aca="false">IF($B33="","",Тохиргоо!$C$8)</f>
        <v/>
      </c>
      <c r="F33" s="44"/>
      <c r="G33" s="45" t="str">
        <f aca="false">IF($B33="","",Тохиргоо!$C$9)</f>
        <v/>
      </c>
      <c r="H33" s="46" t="str">
        <f aca="false">IF($B33="","",IF(E33=0,0,ROUNDDOWN(D33*G33*F33/E33,-2)))</f>
        <v/>
      </c>
      <c r="I33" s="11"/>
    </row>
    <row r="34" customFormat="false" ht="15" hidden="false" customHeight="false" outlineLevel="0" collapsed="false">
      <c r="A34" s="33" t="str">
        <f aca="false">IF($B34="","",ROW()-4)</f>
        <v/>
      </c>
      <c r="B34" s="41" t="str">
        <f aca="false">IF(Ажилтнууд!$C34="","",LEFT(Ажилтнууд!$B34,1)&amp;"."&amp;Ажилтнууд!$C34)</f>
        <v/>
      </c>
      <c r="C34" s="41" t="str">
        <f aca="false">IF($B34="","",Ажилтнууд!$F34)</f>
        <v/>
      </c>
      <c r="D34" s="42" t="str">
        <f aca="false">IF($B34="","",Ажилтнууд!$G34)</f>
        <v/>
      </c>
      <c r="E34" s="43" t="str">
        <f aca="false">IF($B34="","",Тохиргоо!$C$8)</f>
        <v/>
      </c>
      <c r="F34" s="44"/>
      <c r="G34" s="45" t="str">
        <f aca="false">IF($B34="","",Тохиргоо!$C$9)</f>
        <v/>
      </c>
      <c r="H34" s="46" t="str">
        <f aca="false">IF($B34="","",IF(E34=0,0,ROUNDDOWN(D34*G34*F34/E34,-2)))</f>
        <v/>
      </c>
      <c r="I34" s="11"/>
    </row>
    <row r="35" customFormat="false" ht="15" hidden="false" customHeight="false" outlineLevel="0" collapsed="false">
      <c r="A35" s="47"/>
      <c r="B35" s="47" t="s">
        <v>203</v>
      </c>
      <c r="C35" s="47"/>
      <c r="D35" s="47" t="n">
        <f aca="false">SUM(D5:D34)</f>
        <v>21200000</v>
      </c>
      <c r="E35" s="47"/>
      <c r="F35" s="47"/>
      <c r="G35" s="47"/>
      <c r="H35" s="47" t="n">
        <f aca="false">SUM(H5:H34)</f>
        <v>8276300</v>
      </c>
      <c r="I35" s="47"/>
    </row>
    <row r="37" customFormat="false" ht="15" hidden="false" customHeight="false" outlineLevel="0" collapsed="false">
      <c r="B37" s="39" t="s">
        <v>204</v>
      </c>
    </row>
    <row r="38" customFormat="false" ht="15" hidden="false" customHeight="false" outlineLevel="0" collapsed="false">
      <c r="B38" s="39" t="s">
        <v>205</v>
      </c>
    </row>
    <row r="40" customFormat="false" ht="15" hidden="false" customHeight="false" outlineLevel="0" collapsed="false">
      <c r="B40" s="48" t="s">
        <v>206</v>
      </c>
    </row>
  </sheetData>
  <dataValidations count="1">
    <dataValidation allowBlank="false" error="0–31 хооронд өдөр оруулна" errorStyle="stop" operator="between" showDropDown="false" showErrorMessage="true" showInputMessage="false" sqref="F5:F34" type="decimal">
      <formula1>0</formula1>
      <formula2>31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A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5"/>
    <col collapsed="false" customWidth="true" hidden="false" outlineLevel="0" max="3" min="3" style="0" width="13"/>
    <col collapsed="false" customWidth="true" hidden="false" outlineLevel="0" max="4" min="4" style="0" width="22"/>
    <col collapsed="false" customWidth="true" hidden="false" outlineLevel="0" max="5" min="5" style="0" width="13"/>
    <col collapsed="false" customWidth="true" hidden="false" outlineLevel="0" max="7" min="6" style="0" width="9"/>
    <col collapsed="false" customWidth="true" hidden="false" outlineLevel="0" max="8" min="8" style="0" width="13"/>
    <col collapsed="false" customWidth="true" hidden="false" outlineLevel="0" max="10" min="9" style="0" width="12"/>
    <col collapsed="false" customWidth="true" hidden="false" outlineLevel="0" max="11" min="11" style="0" width="8"/>
    <col collapsed="false" customWidth="true" hidden="false" outlineLevel="0" max="14" min="12" style="0" width="12"/>
    <col collapsed="false" customWidth="true" hidden="false" outlineLevel="0" max="15" min="15" style="0" width="14"/>
    <col collapsed="false" customWidth="true" hidden="false" outlineLevel="0" max="16" min="16" style="0" width="13"/>
    <col collapsed="false" customWidth="true" hidden="false" outlineLevel="0" max="18" min="17" style="0" width="12"/>
    <col collapsed="false" customWidth="true" hidden="false" outlineLevel="0" max="19" min="19" style="0" width="13"/>
    <col collapsed="false" customWidth="true" hidden="false" outlineLevel="0" max="20" min="20" style="0" width="12"/>
    <col collapsed="false" customWidth="true" hidden="false" outlineLevel="0" max="21" min="21" style="0" width="11"/>
    <col collapsed="false" customWidth="true" hidden="false" outlineLevel="0" max="22" min="22" style="0" width="12"/>
    <col collapsed="false" customWidth="true" hidden="false" outlineLevel="0" max="23" min="23" style="0" width="13"/>
    <col collapsed="false" customWidth="true" hidden="false" outlineLevel="0" max="24" min="24" style="0" width="11"/>
    <col collapsed="false" customWidth="true" hidden="false" outlineLevel="0" max="25" min="25" style="0" width="13"/>
    <col collapsed="false" customWidth="true" hidden="false" outlineLevel="0" max="27" min="26" style="0" width="14"/>
  </cols>
  <sheetData>
    <row r="1" customFormat="false" ht="17.35" hidden="false" customHeight="false" outlineLevel="0" collapsed="false">
      <c r="A1" s="9" t="s">
        <v>207</v>
      </c>
    </row>
    <row r="2" customFormat="false" ht="15" hidden="false" customHeight="false" outlineLevel="0" collapsed="false">
      <c r="A2" s="40" t="str">
        <f aca="false">Тохиргоо!$C$4&amp;"  |  "&amp;Тохиргоо!$C$5&amp;" оны "&amp;Тохиргоо!$C$6&amp;"-р сар"</f>
        <v>Жишээ ХХК  |  2026 оны 10-р сар</v>
      </c>
    </row>
    <row r="3" customFormat="false" ht="15" hidden="false" customHeight="true" outlineLevel="0" collapsed="false">
      <c r="H3" s="49" t="s">
        <v>208</v>
      </c>
      <c r="I3" s="49"/>
      <c r="J3" s="49"/>
      <c r="K3" s="49"/>
      <c r="L3" s="49"/>
      <c r="M3" s="49"/>
      <c r="N3" s="49"/>
      <c r="O3" s="49"/>
      <c r="P3" s="50" t="s">
        <v>209</v>
      </c>
      <c r="Q3" s="50"/>
      <c r="R3" s="50"/>
      <c r="S3" s="50"/>
      <c r="T3" s="50"/>
      <c r="U3" s="50"/>
      <c r="V3" s="50"/>
      <c r="W3" s="23" t="s">
        <v>210</v>
      </c>
      <c r="X3" s="23"/>
      <c r="Y3" s="23"/>
      <c r="Z3" s="23"/>
    </row>
    <row r="4" customFormat="false" ht="57.75" hidden="false" customHeight="true" outlineLevel="0" collapsed="false">
      <c r="A4" s="22" t="s">
        <v>143</v>
      </c>
      <c r="B4" s="22" t="s">
        <v>197</v>
      </c>
      <c r="C4" s="22" t="s">
        <v>211</v>
      </c>
      <c r="D4" s="22" t="s">
        <v>148</v>
      </c>
      <c r="E4" s="22" t="s">
        <v>149</v>
      </c>
      <c r="F4" s="22" t="s">
        <v>212</v>
      </c>
      <c r="G4" s="22" t="s">
        <v>199</v>
      </c>
      <c r="H4" s="22" t="s">
        <v>213</v>
      </c>
      <c r="I4" s="22" t="s">
        <v>214</v>
      </c>
      <c r="J4" s="22" t="s">
        <v>215</v>
      </c>
      <c r="K4" s="22" t="s">
        <v>216</v>
      </c>
      <c r="L4" s="22" t="s">
        <v>217</v>
      </c>
      <c r="M4" s="22" t="s">
        <v>218</v>
      </c>
      <c r="N4" s="22" t="s">
        <v>219</v>
      </c>
      <c r="O4" s="22" t="s">
        <v>220</v>
      </c>
      <c r="P4" s="22" t="s">
        <v>221</v>
      </c>
      <c r="Q4" s="22" t="s">
        <v>222</v>
      </c>
      <c r="R4" s="22" t="s">
        <v>223</v>
      </c>
      <c r="S4" s="22" t="s">
        <v>224</v>
      </c>
      <c r="T4" s="22" t="s">
        <v>225</v>
      </c>
      <c r="U4" s="22" t="s">
        <v>226</v>
      </c>
      <c r="V4" s="22" t="s">
        <v>227</v>
      </c>
      <c r="W4" s="22" t="s">
        <v>228</v>
      </c>
      <c r="X4" s="22" t="s">
        <v>229</v>
      </c>
      <c r="Y4" s="22" t="s">
        <v>230</v>
      </c>
      <c r="Z4" s="22" t="s">
        <v>231</v>
      </c>
      <c r="AA4" s="22" t="s">
        <v>202</v>
      </c>
    </row>
    <row r="5" customFormat="false" ht="15" hidden="false" customHeight="false" outlineLevel="0" collapsed="false">
      <c r="A5" s="7" t="n">
        <f aca="false">IF($B5="","",ROW()-4)</f>
        <v>1</v>
      </c>
      <c r="B5" s="41" t="str">
        <f aca="false">IF(Ажилтнууд!$C5="","",LEFT(Ажилтнууд!$B5,1)&amp;"."&amp;Ажилтнууд!$C5)</f>
        <v>Д.Болд</v>
      </c>
      <c r="C5" s="41" t="str">
        <f aca="false">IF($B5="","",Ажилтнууд!$D5)</f>
        <v>ЖШ00000001</v>
      </c>
      <c r="D5" s="41" t="str">
        <f aca="false">IF($B5="","",Ажилтнууд!$F5)</f>
        <v>Гүйцэтгэх захирал</v>
      </c>
      <c r="E5" s="42" t="n">
        <f aca="false">IF($B5="","",Ажилтнууд!$G5)</f>
        <v>8500000</v>
      </c>
      <c r="F5" s="43" t="n">
        <f aca="false">IF($B5="","",Тохиргоо!$C$7)</f>
        <v>22</v>
      </c>
      <c r="G5" s="44" t="n">
        <v>22</v>
      </c>
      <c r="H5" s="51" t="n">
        <f aca="false">IF($B5="","",IF(F5=0,0,ROUND(E5*G5/F5,0)))</f>
        <v>8500000</v>
      </c>
      <c r="I5" s="51" t="n">
        <f aca="false">IF($B5="","",ROUND(H5*Ажилтнууд!$H5,0))</f>
        <v>850000</v>
      </c>
      <c r="J5" s="51" t="n">
        <f aca="false">IF($B5="","",ROUND(H5*Ажилтнууд!$I5,0))</f>
        <v>425000</v>
      </c>
      <c r="K5" s="44"/>
      <c r="L5" s="51" t="n">
        <f aca="false">IF($B5="","",IF(F5=0,0,ROUND(K5*E5/(F5*Тохиргоо!$C$11)*Тохиргоо!$C$10,0)))</f>
        <v>0</v>
      </c>
      <c r="M5" s="36"/>
      <c r="N5" s="51" t="n">
        <f aca="false">IF($B5="","",IF(F5=0,0,ROUND(Ажилтнууд!$J5*G5/F5,0)))</f>
        <v>0</v>
      </c>
      <c r="O5" s="52" t="n">
        <f aca="false">IF($B5="","",H5+I5+J5+L5+M5+N5)</f>
        <v>9775000</v>
      </c>
      <c r="P5" s="51" t="n">
        <f aca="false">IF($B5="","",MIN(O5,Тохиргоо!$C$16))</f>
        <v>7920000</v>
      </c>
      <c r="Q5" s="51" t="n">
        <f aca="false">IF($B5="","",ROUND(P5*Тохиргоо!$C$20,0))</f>
        <v>752400</v>
      </c>
      <c r="R5" s="51" t="n">
        <f aca="false">IF($B5="","",ROUND(P5*Тохиргоо!$C$21,0))</f>
        <v>158400</v>
      </c>
      <c r="S5" s="51" t="n">
        <f aca="false">IF($B5="","",O5-Q5-R5)</f>
        <v>8864200</v>
      </c>
      <c r="T5" s="51" t="n">
        <f aca="false">IF($B5="","",IF(Ажилтнууд!$K5="Тийм",0,VLOOKUP(S5,'ХХОАТ хүснэгт'!$N$6:$P$10,3,TRUE())+(S5-VLOOKUP(S5,'ХХОАТ хүснэгт'!$N$6:$P$10,1,TRUE()))*VLOOKUP(S5,'ХХОАТ хүснэгт'!$N$6:$P$10,2,TRUE())))</f>
        <v>886420</v>
      </c>
      <c r="U5" s="51" t="n">
        <f aca="false">IF($B5="","",IF(OR(Ажилтнууд!$K5="Тийм",Тохиргоо!$C$32&lt;&gt;"2026"),0,MIN(T5,INDEX('ХХОАТ хүснэгт'!$C$17:$C$23,COUNTIF('ХХОАТ хүснэгт'!$B$17:$B$23,"&lt;"&amp;S5)+1))))</f>
        <v>0</v>
      </c>
      <c r="V5" s="51" t="n">
        <f aca="false">IF($B5="","",ROUND(MAX(0,T5-U5),0))</f>
        <v>886420</v>
      </c>
      <c r="W5" s="42" t="n">
        <f aca="false">IF($B5="","",Урьдчилгаа!$H5)</f>
        <v>3400000</v>
      </c>
      <c r="X5" s="36"/>
      <c r="Y5" s="51" t="n">
        <f aca="false">IF($B5="","",Q5+R5+V5+W5+X5)</f>
        <v>5197220</v>
      </c>
      <c r="Z5" s="52" t="n">
        <f aca="false">IF($B5="","",O5-Y5)</f>
        <v>4577780</v>
      </c>
      <c r="AA5" s="11"/>
    </row>
    <row r="6" customFormat="false" ht="15" hidden="false" customHeight="false" outlineLevel="0" collapsed="false">
      <c r="A6" s="7" t="n">
        <f aca="false">IF($B6="","",ROW()-4)</f>
        <v>2</v>
      </c>
      <c r="B6" s="41" t="str">
        <f aca="false">IF(Ажилтнууд!$C6="","",LEFT(Ажилтнууд!$B6,1)&amp;"."&amp;Ажилтнууд!$C6)</f>
        <v>С.Сарангэрэл</v>
      </c>
      <c r="C6" s="41" t="str">
        <f aca="false">IF($B6="","",Ажилтнууд!$D6)</f>
        <v>ЖШ00000002</v>
      </c>
      <c r="D6" s="41" t="str">
        <f aca="false">IF($B6="","",Ажилтнууд!$F6)</f>
        <v>Ерөнхий нягтлан бодогч</v>
      </c>
      <c r="E6" s="42" t="n">
        <f aca="false">IF($B6="","",Ажилтнууд!$G6)</f>
        <v>3200000</v>
      </c>
      <c r="F6" s="43" t="n">
        <f aca="false">IF($B6="","",Тохиргоо!$C$7)</f>
        <v>22</v>
      </c>
      <c r="G6" s="44" t="n">
        <v>22</v>
      </c>
      <c r="H6" s="51" t="n">
        <f aca="false">IF($B6="","",IF(F6=0,0,ROUND(E6*G6/F6,0)))</f>
        <v>3200000</v>
      </c>
      <c r="I6" s="51" t="n">
        <f aca="false">IF($B6="","",ROUND(H6*Ажилтнууд!$H6,0))</f>
        <v>320000</v>
      </c>
      <c r="J6" s="51" t="n">
        <f aca="false">IF($B6="","",ROUND(H6*Ажилтнууд!$I6,0))</f>
        <v>160000</v>
      </c>
      <c r="K6" s="44"/>
      <c r="L6" s="51" t="n">
        <f aca="false">IF($B6="","",IF(F6=0,0,ROUND(K6*E6/(F6*Тохиргоо!$C$11)*Тохиргоо!$C$10,0)))</f>
        <v>0</v>
      </c>
      <c r="M6" s="36"/>
      <c r="N6" s="51" t="n">
        <f aca="false">IF($B6="","",IF(F6=0,0,ROUND(Ажилтнууд!$J6*G6/F6,0)))</f>
        <v>120000</v>
      </c>
      <c r="O6" s="52" t="n">
        <f aca="false">IF($B6="","",H6+I6+J6+L6+M6+N6)</f>
        <v>3800000</v>
      </c>
      <c r="P6" s="51" t="n">
        <f aca="false">IF($B6="","",MIN(O6,Тохиргоо!$C$16))</f>
        <v>3800000</v>
      </c>
      <c r="Q6" s="51" t="n">
        <f aca="false">IF($B6="","",ROUND(P6*Тохиргоо!$C$20,0))</f>
        <v>361000</v>
      </c>
      <c r="R6" s="51" t="n">
        <f aca="false">IF($B6="","",ROUND(P6*Тохиргоо!$C$21,0))</f>
        <v>76000</v>
      </c>
      <c r="S6" s="51" t="n">
        <f aca="false">IF($B6="","",O6-Q6-R6)</f>
        <v>3363000</v>
      </c>
      <c r="T6" s="51" t="n">
        <f aca="false">IF($B6="","",IF(Ажилтнууд!$K6="Тийм",0,VLOOKUP(S6,'ХХОАТ хүснэгт'!$N$6:$P$10,3,TRUE())+(S6-VLOOKUP(S6,'ХХОАТ хүснэгт'!$N$6:$P$10,1,TRUE()))*VLOOKUP(S6,'ХХОАТ хүснэгт'!$N$6:$P$10,2,TRUE())))</f>
        <v>336300</v>
      </c>
      <c r="U6" s="51" t="n">
        <f aca="false">IF($B6="","",IF(OR(Ажилтнууд!$K6="Тийм",Тохиргоо!$C$32&lt;&gt;"2026"),0,MIN(T6,INDEX('ХХОАТ хүснэгт'!$C$17:$C$23,COUNTIF('ХХОАТ хүснэгт'!$B$17:$B$23,"&lt;"&amp;S6)+1))))</f>
        <v>0</v>
      </c>
      <c r="V6" s="51" t="n">
        <f aca="false">IF($B6="","",ROUND(MAX(0,T6-U6),0))</f>
        <v>336300</v>
      </c>
      <c r="W6" s="42" t="n">
        <f aca="false">IF($B6="","",Урьдчилгаа!$H6)</f>
        <v>1280000</v>
      </c>
      <c r="X6" s="36"/>
      <c r="Y6" s="51" t="n">
        <f aca="false">IF($B6="","",Q6+R6+V6+W6+X6)</f>
        <v>2053300</v>
      </c>
      <c r="Z6" s="52" t="n">
        <f aca="false">IF($B6="","",O6-Y6)</f>
        <v>1746700</v>
      </c>
      <c r="AA6" s="11"/>
    </row>
    <row r="7" customFormat="false" ht="15" hidden="false" customHeight="false" outlineLevel="0" collapsed="false">
      <c r="A7" s="7" t="n">
        <f aca="false">IF($B7="","",ROW()-4)</f>
        <v>3</v>
      </c>
      <c r="B7" s="41" t="str">
        <f aca="false">IF(Ажилтнууд!$C7="","",LEFT(Ажилтнууд!$B7,1)&amp;"."&amp;Ажилтнууд!$C7)</f>
        <v>Б.Энхжин</v>
      </c>
      <c r="C7" s="41" t="str">
        <f aca="false">IF($B7="","",Ажилтнууд!$D7)</f>
        <v>ЖШ00000003</v>
      </c>
      <c r="D7" s="41" t="str">
        <f aca="false">IF($B7="","",Ажилтнууд!$F7)</f>
        <v>Борлуулалтын менежер</v>
      </c>
      <c r="E7" s="42" t="n">
        <f aca="false">IF($B7="","",Ажилтнууд!$G7)</f>
        <v>2400000</v>
      </c>
      <c r="F7" s="43" t="n">
        <f aca="false">IF($B7="","",Тохиргоо!$C$7)</f>
        <v>22</v>
      </c>
      <c r="G7" s="44" t="n">
        <v>22</v>
      </c>
      <c r="H7" s="51" t="n">
        <f aca="false">IF($B7="","",IF(F7=0,0,ROUND(E7*G7/F7,0)))</f>
        <v>2400000</v>
      </c>
      <c r="I7" s="51" t="n">
        <f aca="false">IF($B7="","",ROUND(H7*Ажилтнууд!$H7,0))</f>
        <v>120000</v>
      </c>
      <c r="J7" s="51" t="n">
        <f aca="false">IF($B7="","",ROUND(H7*Ажилтнууд!$I7,0))</f>
        <v>72000</v>
      </c>
      <c r="K7" s="44"/>
      <c r="L7" s="51" t="n">
        <f aca="false">IF($B7="","",IF(F7=0,0,ROUND(K7*E7/(F7*Тохиргоо!$C$11)*Тохиргоо!$C$10,0)))</f>
        <v>0</v>
      </c>
      <c r="M7" s="36" t="n">
        <v>300000</v>
      </c>
      <c r="N7" s="51" t="n">
        <f aca="false">IF($B7="","",IF(F7=0,0,ROUND(Ажилтнууд!$J7*G7/F7,0)))</f>
        <v>120000</v>
      </c>
      <c r="O7" s="52" t="n">
        <f aca="false">IF($B7="","",H7+I7+J7+L7+M7+N7)</f>
        <v>3012000</v>
      </c>
      <c r="P7" s="51" t="n">
        <f aca="false">IF($B7="","",MIN(O7,Тохиргоо!$C$16))</f>
        <v>3012000</v>
      </c>
      <c r="Q7" s="51" t="n">
        <f aca="false">IF($B7="","",ROUND(P7*Тохиргоо!$C$20,0))</f>
        <v>286140</v>
      </c>
      <c r="R7" s="51" t="n">
        <f aca="false">IF($B7="","",ROUND(P7*Тохиргоо!$C$21,0))</f>
        <v>60240</v>
      </c>
      <c r="S7" s="51" t="n">
        <f aca="false">IF($B7="","",O7-Q7-R7)</f>
        <v>2665620</v>
      </c>
      <c r="T7" s="51" t="n">
        <f aca="false">IF($B7="","",IF(Ажилтнууд!$K7="Тийм",0,VLOOKUP(S7,'ХХОАТ хүснэгт'!$N$6:$P$10,3,TRUE())+(S7-VLOOKUP(S7,'ХХОАТ хүснэгт'!$N$6:$P$10,1,TRUE()))*VLOOKUP(S7,'ХХОАТ хүснэгт'!$N$6:$P$10,2,TRUE())))</f>
        <v>266562</v>
      </c>
      <c r="U7" s="51" t="n">
        <f aca="false">IF($B7="","",IF(OR(Ажилтнууд!$K7="Тийм",Тохиргоо!$C$32&lt;&gt;"2026"),0,MIN(T7,INDEX('ХХОАТ хүснэгт'!$C$17:$C$23,COUNTIF('ХХОАТ хүснэгт'!$B$17:$B$23,"&lt;"&amp;S7)+1))))</f>
        <v>10000</v>
      </c>
      <c r="V7" s="51" t="n">
        <f aca="false">IF($B7="","",ROUND(MAX(0,T7-U7),0))</f>
        <v>256562</v>
      </c>
      <c r="W7" s="42" t="n">
        <f aca="false">IF($B7="","",Урьдчилгаа!$H7)</f>
        <v>960000</v>
      </c>
      <c r="X7" s="36"/>
      <c r="Y7" s="51" t="n">
        <f aca="false">IF($B7="","",Q7+R7+V7+W7+X7)</f>
        <v>1562942</v>
      </c>
      <c r="Z7" s="52" t="n">
        <f aca="false">IF($B7="","",O7-Y7)</f>
        <v>1449058</v>
      </c>
      <c r="AA7" s="11"/>
    </row>
    <row r="8" customFormat="false" ht="15" hidden="false" customHeight="false" outlineLevel="0" collapsed="false">
      <c r="A8" s="7" t="n">
        <f aca="false">IF($B8="","",ROW()-4)</f>
        <v>4</v>
      </c>
      <c r="B8" s="41" t="str">
        <f aca="false">IF(Ажилтнууд!$C8="","",LEFT(Ажилтнууд!$B8,1)&amp;"."&amp;Ажилтнууд!$C8)</f>
        <v>О.Мөнхзул</v>
      </c>
      <c r="C8" s="41" t="str">
        <f aca="false">IF($B8="","",Ажилтнууд!$D8)</f>
        <v>ЖШ00000004</v>
      </c>
      <c r="D8" s="41" t="str">
        <f aca="false">IF($B8="","",Ажилтнууд!$F8)</f>
        <v>Нягтлан бодогч</v>
      </c>
      <c r="E8" s="42" t="n">
        <f aca="false">IF($B8="","",Ажилтнууд!$G8)</f>
        <v>1900000</v>
      </c>
      <c r="F8" s="43" t="n">
        <f aca="false">IF($B8="","",Тохиргоо!$C$7)</f>
        <v>22</v>
      </c>
      <c r="G8" s="44" t="n">
        <v>20</v>
      </c>
      <c r="H8" s="51" t="n">
        <f aca="false">IF($B8="","",IF(F8=0,0,ROUND(E8*G8/F8,0)))</f>
        <v>1727273</v>
      </c>
      <c r="I8" s="51" t="n">
        <f aca="false">IF($B8="","",ROUND(H8*Ажилтнууд!$H8,0))</f>
        <v>86364</v>
      </c>
      <c r="J8" s="51" t="n">
        <f aca="false">IF($B8="","",ROUND(H8*Ажилтнууд!$I8,0))</f>
        <v>51818</v>
      </c>
      <c r="K8" s="44"/>
      <c r="L8" s="51" t="n">
        <f aca="false">IF($B8="","",IF(F8=0,0,ROUND(K8*E8/(F8*Тохиргоо!$C$11)*Тохиргоо!$C$10,0)))</f>
        <v>0</v>
      </c>
      <c r="M8" s="36"/>
      <c r="N8" s="51" t="n">
        <f aca="false">IF($B8="","",IF(F8=0,0,ROUND(Ажилтнууд!$J8*G8/F8,0)))</f>
        <v>109091</v>
      </c>
      <c r="O8" s="52" t="n">
        <f aca="false">IF($B8="","",H8+I8+J8+L8+M8+N8)</f>
        <v>1974546</v>
      </c>
      <c r="P8" s="51" t="n">
        <f aca="false">IF($B8="","",MIN(O8,Тохиргоо!$C$16))</f>
        <v>1974546</v>
      </c>
      <c r="Q8" s="51" t="n">
        <f aca="false">IF($B8="","",ROUND(P8*Тохиргоо!$C$20,0))</f>
        <v>187582</v>
      </c>
      <c r="R8" s="51" t="n">
        <f aca="false">IF($B8="","",ROUND(P8*Тохиргоо!$C$21,0))</f>
        <v>39491</v>
      </c>
      <c r="S8" s="51" t="n">
        <f aca="false">IF($B8="","",O8-Q8-R8)</f>
        <v>1747473</v>
      </c>
      <c r="T8" s="51" t="n">
        <f aca="false">IF($B8="","",IF(Ажилтнууд!$K8="Тийм",0,VLOOKUP(S8,'ХХОАТ хүснэгт'!$N$6:$P$10,3,TRUE())+(S8-VLOOKUP(S8,'ХХОАТ хүснэгт'!$N$6:$P$10,1,TRUE()))*VLOOKUP(S8,'ХХОАТ хүснэгт'!$N$6:$P$10,2,TRUE())))</f>
        <v>174747.3</v>
      </c>
      <c r="U8" s="51" t="n">
        <f aca="false">IF($B8="","",IF(OR(Ажилтнууд!$K8="Тийм",Тохиргоо!$C$32&lt;&gt;"2026"),0,MIN(T8,INDEX('ХХОАТ хүснэгт'!$C$17:$C$23,COUNTIF('ХХОАТ хүснэгт'!$B$17:$B$23,"&lt;"&amp;S8)+1))))</f>
        <v>14000</v>
      </c>
      <c r="V8" s="51" t="n">
        <f aca="false">IF($B8="","",ROUND(MAX(0,T8-U8),0))</f>
        <v>160747</v>
      </c>
      <c r="W8" s="42" t="n">
        <f aca="false">IF($B8="","",Урьдчилгаа!$H8)</f>
        <v>621800</v>
      </c>
      <c r="X8" s="36"/>
      <c r="Y8" s="51" t="n">
        <f aca="false">IF($B8="","",Q8+R8+V8+W8+X8)</f>
        <v>1009620</v>
      </c>
      <c r="Z8" s="52" t="n">
        <f aca="false">IF($B8="","",O8-Y8)</f>
        <v>964926</v>
      </c>
      <c r="AA8" s="11"/>
    </row>
    <row r="9" customFormat="false" ht="15" hidden="false" customHeight="false" outlineLevel="0" collapsed="false">
      <c r="A9" s="7" t="n">
        <f aca="false">IF($B9="","",ROW()-4)</f>
        <v>5</v>
      </c>
      <c r="B9" s="41" t="str">
        <f aca="false">IF(Ажилтнууд!$C9="","",LEFT(Ажилтнууд!$B9,1)&amp;"."&amp;Ажилтнууд!$C9)</f>
        <v>П.Тэмүүлэн</v>
      </c>
      <c r="C9" s="41" t="str">
        <f aca="false">IF($B9="","",Ажилтнууд!$D9)</f>
        <v>ЖШ00000005</v>
      </c>
      <c r="D9" s="41" t="str">
        <f aca="false">IF($B9="","",Ажилтнууд!$F9)</f>
        <v>Нярав</v>
      </c>
      <c r="E9" s="42" t="n">
        <f aca="false">IF($B9="","",Ажилтнууд!$G9)</f>
        <v>1600000</v>
      </c>
      <c r="F9" s="43" t="n">
        <f aca="false">IF($B9="","",Тохиргоо!$C$7)</f>
        <v>22</v>
      </c>
      <c r="G9" s="44" t="n">
        <v>22</v>
      </c>
      <c r="H9" s="51" t="n">
        <f aca="false">IF($B9="","",IF(F9=0,0,ROUND(E9*G9/F9,0)))</f>
        <v>1600000</v>
      </c>
      <c r="I9" s="51" t="n">
        <f aca="false">IF($B9="","",ROUND(H9*Ажилтнууд!$H9,0))</f>
        <v>0</v>
      </c>
      <c r="J9" s="51" t="n">
        <f aca="false">IF($B9="","",ROUND(H9*Ажилтнууд!$I9,0))</f>
        <v>32000</v>
      </c>
      <c r="K9" s="44" t="n">
        <v>4</v>
      </c>
      <c r="L9" s="51" t="n">
        <f aca="false">IF($B9="","",IF(F9=0,0,ROUND(K9*E9/(F9*Тохиргоо!$C$11)*Тохиргоо!$C$10,0)))</f>
        <v>54545</v>
      </c>
      <c r="M9" s="36"/>
      <c r="N9" s="51" t="n">
        <f aca="false">IF($B9="","",IF(F9=0,0,ROUND(Ажилтнууд!$J9*G9/F9,0)))</f>
        <v>120000</v>
      </c>
      <c r="O9" s="52" t="n">
        <f aca="false">IF($B9="","",H9+I9+J9+L9+M9+N9)</f>
        <v>1806545</v>
      </c>
      <c r="P9" s="51" t="n">
        <f aca="false">IF($B9="","",MIN(O9,Тохиргоо!$C$16))</f>
        <v>1806545</v>
      </c>
      <c r="Q9" s="51" t="n">
        <f aca="false">IF($B9="","",ROUND(P9*Тохиргоо!$C$20,0))</f>
        <v>171622</v>
      </c>
      <c r="R9" s="51" t="n">
        <f aca="false">IF($B9="","",ROUND(P9*Тохиргоо!$C$21,0))</f>
        <v>36131</v>
      </c>
      <c r="S9" s="51" t="n">
        <f aca="false">IF($B9="","",O9-Q9-R9)</f>
        <v>1598792</v>
      </c>
      <c r="T9" s="51" t="n">
        <f aca="false">IF($B9="","",IF(Ажилтнууд!$K9="Тийм",0,VLOOKUP(S9,'ХХОАТ хүснэгт'!$N$6:$P$10,3,TRUE())+(S9-VLOOKUP(S9,'ХХОАТ хүснэгт'!$N$6:$P$10,1,TRUE()))*VLOOKUP(S9,'ХХОАТ хүснэгт'!$N$6:$P$10,2,TRUE())))</f>
        <v>159879.2</v>
      </c>
      <c r="U9" s="51" t="n">
        <f aca="false">IF($B9="","",IF(OR(Ажилтнууд!$K9="Тийм",Тохиргоо!$C$32&lt;&gt;"2026"),0,MIN(T9,INDEX('ХХОАТ хүснэгт'!$C$17:$C$23,COUNTIF('ХХОАТ хүснэгт'!$B$17:$B$23,"&lt;"&amp;S9)+1))))</f>
        <v>14000</v>
      </c>
      <c r="V9" s="51" t="n">
        <f aca="false">IF($B9="","",ROUND(MAX(0,T9-U9),0))</f>
        <v>145879</v>
      </c>
      <c r="W9" s="42" t="n">
        <f aca="false">IF($B9="","",Урьдчилгаа!$H9)</f>
        <v>640000</v>
      </c>
      <c r="X9" s="36" t="n">
        <v>50000</v>
      </c>
      <c r="Y9" s="51" t="n">
        <f aca="false">IF($B9="","",Q9+R9+V9+W9+X9)</f>
        <v>1043632</v>
      </c>
      <c r="Z9" s="52" t="n">
        <f aca="false">IF($B9="","",O9-Y9)</f>
        <v>762913</v>
      </c>
      <c r="AA9" s="11"/>
    </row>
    <row r="10" customFormat="false" ht="15" hidden="false" customHeight="false" outlineLevel="0" collapsed="false">
      <c r="A10" s="7" t="n">
        <f aca="false">IF($B10="","",ROW()-4)</f>
        <v>6</v>
      </c>
      <c r="B10" s="41" t="str">
        <f aca="false">IF(Ажилтнууд!$C10="","",LEFT(Ажилтнууд!$B10,1)&amp;"."&amp;Ажилтнууд!$C10)</f>
        <v>Л.Баатар</v>
      </c>
      <c r="C10" s="41" t="str">
        <f aca="false">IF($B10="","",Ажилтнууд!$D10)</f>
        <v>ЖШ00000006</v>
      </c>
      <c r="D10" s="41" t="str">
        <f aca="false">IF($B10="","",Ажилтнууд!$F10)</f>
        <v>Жолооч</v>
      </c>
      <c r="E10" s="42" t="n">
        <f aca="false">IF($B10="","",Ажилтнууд!$G10)</f>
        <v>1400000</v>
      </c>
      <c r="F10" s="43" t="n">
        <f aca="false">IF($B10="","",Тохиргоо!$C$7)</f>
        <v>22</v>
      </c>
      <c r="G10" s="44" t="n">
        <v>22</v>
      </c>
      <c r="H10" s="51" t="n">
        <f aca="false">IF($B10="","",IF(F10=0,0,ROUND(E10*G10/F10,0)))</f>
        <v>1400000</v>
      </c>
      <c r="I10" s="51" t="n">
        <f aca="false">IF($B10="","",ROUND(H10*Ажилтнууд!$H10,0))</f>
        <v>0</v>
      </c>
      <c r="J10" s="51" t="n">
        <f aca="false">IF($B10="","",ROUND(H10*Ажилтнууд!$I10,0))</f>
        <v>70000</v>
      </c>
      <c r="K10" s="44" t="n">
        <v>10</v>
      </c>
      <c r="L10" s="51" t="n">
        <f aca="false">IF($B10="","",IF(F10=0,0,ROUND(K10*E10/(F10*Тохиргоо!$C$11)*Тохиргоо!$C$10,0)))</f>
        <v>119318</v>
      </c>
      <c r="M10" s="36"/>
      <c r="N10" s="51" t="n">
        <f aca="false">IF($B10="","",IF(F10=0,0,ROUND(Ажилтнууд!$J10*G10/F10,0)))</f>
        <v>120000</v>
      </c>
      <c r="O10" s="52" t="n">
        <f aca="false">IF($B10="","",H10+I10+J10+L10+M10+N10)</f>
        <v>1709318</v>
      </c>
      <c r="P10" s="51" t="n">
        <f aca="false">IF($B10="","",MIN(O10,Тохиргоо!$C$16))</f>
        <v>1709318</v>
      </c>
      <c r="Q10" s="51" t="n">
        <f aca="false">IF($B10="","",ROUND(P10*Тохиргоо!$C$20,0))</f>
        <v>162385</v>
      </c>
      <c r="R10" s="51" t="n">
        <f aca="false">IF($B10="","",ROUND(P10*Тохиргоо!$C$21,0))</f>
        <v>34186</v>
      </c>
      <c r="S10" s="51" t="n">
        <f aca="false">IF($B10="","",O10-Q10-R10)</f>
        <v>1512747</v>
      </c>
      <c r="T10" s="51" t="n">
        <f aca="false">IF($B10="","",IF(Ажилтнууд!$K10="Тийм",0,VLOOKUP(S10,'ХХОАТ хүснэгт'!$N$6:$P$10,3,TRUE())+(S10-VLOOKUP(S10,'ХХОАТ хүснэгт'!$N$6:$P$10,1,TRUE()))*VLOOKUP(S10,'ХХОАТ хүснэгт'!$N$6:$P$10,2,TRUE())))</f>
        <v>151274.7</v>
      </c>
      <c r="U10" s="51" t="n">
        <f aca="false">IF($B10="","",IF(OR(Ажилтнууд!$K10="Тийм",Тохиргоо!$C$32&lt;&gt;"2026"),0,MIN(T10,INDEX('ХХОАТ хүснэгт'!$C$17:$C$23,COUNTIF('ХХОАТ хүснэгт'!$B$17:$B$23,"&lt;"&amp;S10)+1))))</f>
        <v>14000</v>
      </c>
      <c r="V10" s="51" t="n">
        <f aca="false">IF($B10="","",ROUND(MAX(0,T10-U10),0))</f>
        <v>137275</v>
      </c>
      <c r="W10" s="42" t="n">
        <f aca="false">IF($B10="","",Урьдчилгаа!$H10)</f>
        <v>560000</v>
      </c>
      <c r="X10" s="36"/>
      <c r="Y10" s="51" t="n">
        <f aca="false">IF($B10="","",Q10+R10+V10+W10+X10)</f>
        <v>893846</v>
      </c>
      <c r="Z10" s="52" t="n">
        <f aca="false">IF($B10="","",O10-Y10)</f>
        <v>815472</v>
      </c>
      <c r="AA10" s="11"/>
    </row>
    <row r="11" customFormat="false" ht="15" hidden="false" customHeight="false" outlineLevel="0" collapsed="false">
      <c r="A11" s="7" t="n">
        <f aca="false">IF($B11="","",ROW()-4)</f>
        <v>7</v>
      </c>
      <c r="B11" s="41" t="str">
        <f aca="false">IF(Ажилтнууд!$C11="","",LEFT(Ажилтнууд!$B11,1)&amp;"."&amp;Ажилтнууд!$C11)</f>
        <v>Д.Оюун</v>
      </c>
      <c r="C11" s="41" t="str">
        <f aca="false">IF($B11="","",Ажилтнууд!$D11)</f>
        <v>ЖШ00000007</v>
      </c>
      <c r="D11" s="41" t="str">
        <f aca="false">IF($B11="","",Ажилтнууд!$F11)</f>
        <v>Үйлчлэгч</v>
      </c>
      <c r="E11" s="42" t="n">
        <f aca="false">IF($B11="","",Ажилтнууд!$G11)</f>
        <v>900000</v>
      </c>
      <c r="F11" s="43" t="n">
        <f aca="false">IF($B11="","",Тохиргоо!$C$7)</f>
        <v>22</v>
      </c>
      <c r="G11" s="44" t="n">
        <v>18</v>
      </c>
      <c r="H11" s="51" t="n">
        <f aca="false">IF($B11="","",IF(F11=0,0,ROUND(E11*G11/F11,0)))</f>
        <v>736364</v>
      </c>
      <c r="I11" s="51" t="n">
        <f aca="false">IF($B11="","",ROUND(H11*Ажилтнууд!$H11,0))</f>
        <v>0</v>
      </c>
      <c r="J11" s="51" t="n">
        <f aca="false">IF($B11="","",ROUND(H11*Ажилтнууд!$I11,0))</f>
        <v>0</v>
      </c>
      <c r="K11" s="44"/>
      <c r="L11" s="51" t="n">
        <f aca="false">IF($B11="","",IF(F11=0,0,ROUND(K11*E11/(F11*Тохиргоо!$C$11)*Тохиргоо!$C$10,0)))</f>
        <v>0</v>
      </c>
      <c r="M11" s="36"/>
      <c r="N11" s="51" t="n">
        <f aca="false">IF($B11="","",IF(F11=0,0,ROUND(Ажилтнууд!$J11*G11/F11,0)))</f>
        <v>98182</v>
      </c>
      <c r="O11" s="52" t="n">
        <f aca="false">IF($B11="","",H11+I11+J11+L11+M11+N11)</f>
        <v>834546</v>
      </c>
      <c r="P11" s="51" t="n">
        <f aca="false">IF($B11="","",MIN(O11,Тохиргоо!$C$16))</f>
        <v>834546</v>
      </c>
      <c r="Q11" s="51" t="n">
        <f aca="false">IF($B11="","",ROUND(P11*Тохиргоо!$C$20,0))</f>
        <v>79282</v>
      </c>
      <c r="R11" s="51" t="n">
        <f aca="false">IF($B11="","",ROUND(P11*Тохиргоо!$C$21,0))</f>
        <v>16691</v>
      </c>
      <c r="S11" s="51" t="n">
        <f aca="false">IF($B11="","",O11-Q11-R11)</f>
        <v>738573</v>
      </c>
      <c r="T11" s="51" t="n">
        <f aca="false">IF($B11="","",IF(Ажилтнууд!$K11="Тийм",0,VLOOKUP(S11,'ХХОАТ хүснэгт'!$N$6:$P$10,3,TRUE())+(S11-VLOOKUP(S11,'ХХОАТ хүснэгт'!$N$6:$P$10,1,TRUE()))*VLOOKUP(S11,'ХХОАТ хүснэгт'!$N$6:$P$10,2,TRUE())))</f>
        <v>73857.3</v>
      </c>
      <c r="U11" s="51" t="n">
        <f aca="false">IF($B11="","",IF(OR(Ажилтнууд!$K11="Тийм",Тохиргоо!$C$32&lt;&gt;"2026"),0,MIN(T11,INDEX('ХХОАТ хүснэгт'!$C$17:$C$23,COUNTIF('ХХОАТ хүснэгт'!$B$17:$B$23,"&lt;"&amp;S11)+1))))</f>
        <v>18000</v>
      </c>
      <c r="V11" s="51" t="n">
        <f aca="false">IF($B11="","",ROUND(MAX(0,T11-U11),0))</f>
        <v>55857</v>
      </c>
      <c r="W11" s="42" t="n">
        <f aca="false">IF($B11="","",Урьдчилгаа!$H11)</f>
        <v>294500</v>
      </c>
      <c r="X11" s="36"/>
      <c r="Y11" s="51" t="n">
        <f aca="false">IF($B11="","",Q11+R11+V11+W11+X11)</f>
        <v>446330</v>
      </c>
      <c r="Z11" s="52" t="n">
        <f aca="false">IF($B11="","",O11-Y11)</f>
        <v>388216</v>
      </c>
      <c r="AA11" s="11"/>
    </row>
    <row r="12" customFormat="false" ht="15" hidden="false" customHeight="false" outlineLevel="0" collapsed="false">
      <c r="A12" s="7" t="n">
        <f aca="false">IF($B12="","",ROW()-4)</f>
        <v>8</v>
      </c>
      <c r="B12" s="41" t="str">
        <f aca="false">IF(Ажилтнууд!$C12="","",LEFT(Ажилтнууд!$B12,1)&amp;"."&amp;Ажилтнууд!$C12)</f>
        <v>Ц.Ариунаа</v>
      </c>
      <c r="C12" s="41" t="str">
        <f aca="false">IF($B12="","",Ажилтнууд!$D12)</f>
        <v>ЖШ00000008</v>
      </c>
      <c r="D12" s="41" t="str">
        <f aca="false">IF($B12="","",Ажилтнууд!$F12)</f>
        <v>Оператор</v>
      </c>
      <c r="E12" s="42" t="n">
        <f aca="false">IF($B12="","",Ажилтнууд!$G12)</f>
        <v>1300000</v>
      </c>
      <c r="F12" s="43" t="n">
        <f aca="false">IF($B12="","",Тохиргоо!$C$7)</f>
        <v>22</v>
      </c>
      <c r="G12" s="44" t="n">
        <v>22</v>
      </c>
      <c r="H12" s="51" t="n">
        <f aca="false">IF($B12="","",IF(F12=0,0,ROUND(E12*G12/F12,0)))</f>
        <v>1300000</v>
      </c>
      <c r="I12" s="51" t="n">
        <f aca="false">IF($B12="","",ROUND(H12*Ажилтнууд!$H12,0))</f>
        <v>0</v>
      </c>
      <c r="J12" s="51" t="n">
        <f aca="false">IF($B12="","",ROUND(H12*Ажилтнууд!$I12,0))</f>
        <v>0</v>
      </c>
      <c r="K12" s="44"/>
      <c r="L12" s="51" t="n">
        <f aca="false">IF($B12="","",IF(F12=0,0,ROUND(K12*E12/(F12*Тохиргоо!$C$11)*Тохиргоо!$C$10,0)))</f>
        <v>0</v>
      </c>
      <c r="M12" s="36"/>
      <c r="N12" s="51" t="n">
        <f aca="false">IF($B12="","",IF(F12=0,0,ROUND(Ажилтнууд!$J12*G12/F12,0)))</f>
        <v>120000</v>
      </c>
      <c r="O12" s="52" t="n">
        <f aca="false">IF($B12="","",H12+I12+J12+L12+M12+N12)</f>
        <v>1420000</v>
      </c>
      <c r="P12" s="51" t="n">
        <f aca="false">IF($B12="","",MIN(O12,Тохиргоо!$C$16))</f>
        <v>1420000</v>
      </c>
      <c r="Q12" s="51" t="n">
        <f aca="false">IF($B12="","",ROUND(P12*Тохиргоо!$C$20,0))</f>
        <v>134900</v>
      </c>
      <c r="R12" s="51" t="n">
        <f aca="false">IF($B12="","",ROUND(P12*Тохиргоо!$C$21,0))</f>
        <v>28400</v>
      </c>
      <c r="S12" s="51" t="n">
        <f aca="false">IF($B12="","",O12-Q12-R12)</f>
        <v>1256700</v>
      </c>
      <c r="T12" s="51" t="n">
        <f aca="false">IF($B12="","",IF(Ажилтнууд!$K12="Тийм",0,VLOOKUP(S12,'ХХОАТ хүснэгт'!$N$6:$P$10,3,TRUE())+(S12-VLOOKUP(S12,'ХХОАТ хүснэгт'!$N$6:$P$10,1,TRUE()))*VLOOKUP(S12,'ХХОАТ хүснэгт'!$N$6:$P$10,2,TRUE())))</f>
        <v>0</v>
      </c>
      <c r="U12" s="51" t="n">
        <f aca="false">IF($B12="","",IF(OR(Ажилтнууд!$K12="Тийм",Тохиргоо!$C$32&lt;&gt;"2026"),0,MIN(T12,INDEX('ХХОАТ хүснэгт'!$C$17:$C$23,COUNTIF('ХХОАТ хүснэгт'!$B$17:$B$23,"&lt;"&amp;S12)+1))))</f>
        <v>0</v>
      </c>
      <c r="V12" s="51" t="n">
        <f aca="false">IF($B12="","",ROUND(MAX(0,T12-U12),0))</f>
        <v>0</v>
      </c>
      <c r="W12" s="42" t="n">
        <f aca="false">IF($B12="","",Урьдчилгаа!$H12)</f>
        <v>520000</v>
      </c>
      <c r="X12" s="36"/>
      <c r="Y12" s="51" t="n">
        <f aca="false">IF($B12="","",Q12+R12+V12+W12+X12)</f>
        <v>683300</v>
      </c>
      <c r="Z12" s="52" t="n">
        <f aca="false">IF($B12="","",O12-Y12)</f>
        <v>736700</v>
      </c>
      <c r="AA12" s="11"/>
    </row>
    <row r="13" customFormat="false" ht="15" hidden="false" customHeight="false" outlineLevel="0" collapsed="false">
      <c r="A13" s="7" t="str">
        <f aca="false">IF($B13="","",ROW()-4)</f>
        <v/>
      </c>
      <c r="B13" s="41" t="str">
        <f aca="false">IF(Ажилтнууд!$C13="","",LEFT(Ажилтнууд!$B13,1)&amp;"."&amp;Ажилтнууд!$C13)</f>
        <v/>
      </c>
      <c r="C13" s="41" t="str">
        <f aca="false">IF($B13="","",Ажилтнууд!$D13)</f>
        <v/>
      </c>
      <c r="D13" s="41" t="str">
        <f aca="false">IF($B13="","",Ажилтнууд!$F13)</f>
        <v/>
      </c>
      <c r="E13" s="42" t="str">
        <f aca="false">IF($B13="","",Ажилтнууд!$G13)</f>
        <v/>
      </c>
      <c r="F13" s="43" t="str">
        <f aca="false">IF($B13="","",Тохиргоо!$C$7)</f>
        <v/>
      </c>
      <c r="G13" s="44"/>
      <c r="H13" s="51" t="str">
        <f aca="false">IF($B13="","",IF(F13=0,0,ROUND(E13*G13/F13,0)))</f>
        <v/>
      </c>
      <c r="I13" s="51" t="str">
        <f aca="false">IF($B13="","",ROUND(H13*Ажилтнууд!$H13,0))</f>
        <v/>
      </c>
      <c r="J13" s="51" t="str">
        <f aca="false">IF($B13="","",ROUND(H13*Ажилтнууд!$I13,0))</f>
        <v/>
      </c>
      <c r="K13" s="44"/>
      <c r="L13" s="51" t="str">
        <f aca="false">IF($B13="","",IF(F13=0,0,ROUND(K13*E13/(F13*Тохиргоо!$C$11)*Тохиргоо!$C$10,0)))</f>
        <v/>
      </c>
      <c r="M13" s="36"/>
      <c r="N13" s="51" t="str">
        <f aca="false">IF($B13="","",IF(F13=0,0,ROUND(Ажилтнууд!$J13*G13/F13,0)))</f>
        <v/>
      </c>
      <c r="O13" s="52" t="str">
        <f aca="false">IF($B13="","",H13+I13+J13+L13+M13+N13)</f>
        <v/>
      </c>
      <c r="P13" s="51" t="str">
        <f aca="false">IF($B13="","",MIN(O13,Тохиргоо!$C$16))</f>
        <v/>
      </c>
      <c r="Q13" s="51" t="str">
        <f aca="false">IF($B13="","",ROUND(P13*Тохиргоо!$C$20,0))</f>
        <v/>
      </c>
      <c r="R13" s="51" t="str">
        <f aca="false">IF($B13="","",ROUND(P13*Тохиргоо!$C$21,0))</f>
        <v/>
      </c>
      <c r="S13" s="51" t="str">
        <f aca="false">IF($B13="","",O13-Q13-R13)</f>
        <v/>
      </c>
      <c r="T13" s="51" t="str">
        <f aca="false">IF($B13="","",IF(Ажилтнууд!$K13="Тийм",0,VLOOKUP(S13,'ХХОАТ хүснэгт'!$N$6:$P$10,3,TRUE())+(S13-VLOOKUP(S13,'ХХОАТ хүснэгт'!$N$6:$P$10,1,TRUE()))*VLOOKUP(S13,'ХХОАТ хүснэгт'!$N$6:$P$10,2,TRUE())))</f>
        <v/>
      </c>
      <c r="U13" s="51" t="str">
        <f aca="false">IF($B13="","",IF(OR(Ажилтнууд!$K13="Тийм",Тохиргоо!$C$32&lt;&gt;"2026"),0,MIN(T13,INDEX('ХХОАТ хүснэгт'!$C$17:$C$23,COUNTIF('ХХОАТ хүснэгт'!$B$17:$B$23,"&lt;"&amp;S13)+1))))</f>
        <v/>
      </c>
      <c r="V13" s="51" t="str">
        <f aca="false">IF($B13="","",ROUND(MAX(0,T13-U13),0))</f>
        <v/>
      </c>
      <c r="W13" s="42" t="str">
        <f aca="false">IF($B13="","",Урьдчилгаа!$H13)</f>
        <v/>
      </c>
      <c r="X13" s="36"/>
      <c r="Y13" s="51" t="str">
        <f aca="false">IF($B13="","",Q13+R13+V13+W13+X13)</f>
        <v/>
      </c>
      <c r="Z13" s="52" t="str">
        <f aca="false">IF($B13="","",O13-Y13)</f>
        <v/>
      </c>
      <c r="AA13" s="11"/>
    </row>
    <row r="14" customFormat="false" ht="15" hidden="false" customHeight="false" outlineLevel="0" collapsed="false">
      <c r="A14" s="7" t="str">
        <f aca="false">IF($B14="","",ROW()-4)</f>
        <v/>
      </c>
      <c r="B14" s="41" t="str">
        <f aca="false">IF(Ажилтнууд!$C14="","",LEFT(Ажилтнууд!$B14,1)&amp;"."&amp;Ажилтнууд!$C14)</f>
        <v/>
      </c>
      <c r="C14" s="41" t="str">
        <f aca="false">IF($B14="","",Ажилтнууд!$D14)</f>
        <v/>
      </c>
      <c r="D14" s="41" t="str">
        <f aca="false">IF($B14="","",Ажилтнууд!$F14)</f>
        <v/>
      </c>
      <c r="E14" s="42" t="str">
        <f aca="false">IF($B14="","",Ажилтнууд!$G14)</f>
        <v/>
      </c>
      <c r="F14" s="43" t="str">
        <f aca="false">IF($B14="","",Тохиргоо!$C$7)</f>
        <v/>
      </c>
      <c r="G14" s="44"/>
      <c r="H14" s="51" t="str">
        <f aca="false">IF($B14="","",IF(F14=0,0,ROUND(E14*G14/F14,0)))</f>
        <v/>
      </c>
      <c r="I14" s="51" t="str">
        <f aca="false">IF($B14="","",ROUND(H14*Ажилтнууд!$H14,0))</f>
        <v/>
      </c>
      <c r="J14" s="51" t="str">
        <f aca="false">IF($B14="","",ROUND(H14*Ажилтнууд!$I14,0))</f>
        <v/>
      </c>
      <c r="K14" s="44"/>
      <c r="L14" s="51" t="str">
        <f aca="false">IF($B14="","",IF(F14=0,0,ROUND(K14*E14/(F14*Тохиргоо!$C$11)*Тохиргоо!$C$10,0)))</f>
        <v/>
      </c>
      <c r="M14" s="36"/>
      <c r="N14" s="51" t="str">
        <f aca="false">IF($B14="","",IF(F14=0,0,ROUND(Ажилтнууд!$J14*G14/F14,0)))</f>
        <v/>
      </c>
      <c r="O14" s="52" t="str">
        <f aca="false">IF($B14="","",H14+I14+J14+L14+M14+N14)</f>
        <v/>
      </c>
      <c r="P14" s="51" t="str">
        <f aca="false">IF($B14="","",MIN(O14,Тохиргоо!$C$16))</f>
        <v/>
      </c>
      <c r="Q14" s="51" t="str">
        <f aca="false">IF($B14="","",ROUND(P14*Тохиргоо!$C$20,0))</f>
        <v/>
      </c>
      <c r="R14" s="51" t="str">
        <f aca="false">IF($B14="","",ROUND(P14*Тохиргоо!$C$21,0))</f>
        <v/>
      </c>
      <c r="S14" s="51" t="str">
        <f aca="false">IF($B14="","",O14-Q14-R14)</f>
        <v/>
      </c>
      <c r="T14" s="51" t="str">
        <f aca="false">IF($B14="","",IF(Ажилтнууд!$K14="Тийм",0,VLOOKUP(S14,'ХХОАТ хүснэгт'!$N$6:$P$10,3,TRUE())+(S14-VLOOKUP(S14,'ХХОАТ хүснэгт'!$N$6:$P$10,1,TRUE()))*VLOOKUP(S14,'ХХОАТ хүснэгт'!$N$6:$P$10,2,TRUE())))</f>
        <v/>
      </c>
      <c r="U14" s="51" t="str">
        <f aca="false">IF($B14="","",IF(OR(Ажилтнууд!$K14="Тийм",Тохиргоо!$C$32&lt;&gt;"2026"),0,MIN(T14,INDEX('ХХОАТ хүснэгт'!$C$17:$C$23,COUNTIF('ХХОАТ хүснэгт'!$B$17:$B$23,"&lt;"&amp;S14)+1))))</f>
        <v/>
      </c>
      <c r="V14" s="51" t="str">
        <f aca="false">IF($B14="","",ROUND(MAX(0,T14-U14),0))</f>
        <v/>
      </c>
      <c r="W14" s="42" t="str">
        <f aca="false">IF($B14="","",Урьдчилгаа!$H14)</f>
        <v/>
      </c>
      <c r="X14" s="36"/>
      <c r="Y14" s="51" t="str">
        <f aca="false">IF($B14="","",Q14+R14+V14+W14+X14)</f>
        <v/>
      </c>
      <c r="Z14" s="52" t="str">
        <f aca="false">IF($B14="","",O14-Y14)</f>
        <v/>
      </c>
      <c r="AA14" s="11"/>
    </row>
    <row r="15" customFormat="false" ht="15" hidden="false" customHeight="false" outlineLevel="0" collapsed="false">
      <c r="A15" s="7" t="str">
        <f aca="false">IF($B15="","",ROW()-4)</f>
        <v/>
      </c>
      <c r="B15" s="41" t="str">
        <f aca="false">IF(Ажилтнууд!$C15="","",LEFT(Ажилтнууд!$B15,1)&amp;"."&amp;Ажилтнууд!$C15)</f>
        <v/>
      </c>
      <c r="C15" s="41" t="str">
        <f aca="false">IF($B15="","",Ажилтнууд!$D15)</f>
        <v/>
      </c>
      <c r="D15" s="41" t="str">
        <f aca="false">IF($B15="","",Ажилтнууд!$F15)</f>
        <v/>
      </c>
      <c r="E15" s="42" t="str">
        <f aca="false">IF($B15="","",Ажилтнууд!$G15)</f>
        <v/>
      </c>
      <c r="F15" s="43" t="str">
        <f aca="false">IF($B15="","",Тохиргоо!$C$7)</f>
        <v/>
      </c>
      <c r="G15" s="44"/>
      <c r="H15" s="51" t="str">
        <f aca="false">IF($B15="","",IF(F15=0,0,ROUND(E15*G15/F15,0)))</f>
        <v/>
      </c>
      <c r="I15" s="51" t="str">
        <f aca="false">IF($B15="","",ROUND(H15*Ажилтнууд!$H15,0))</f>
        <v/>
      </c>
      <c r="J15" s="51" t="str">
        <f aca="false">IF($B15="","",ROUND(H15*Ажилтнууд!$I15,0))</f>
        <v/>
      </c>
      <c r="K15" s="44"/>
      <c r="L15" s="51" t="str">
        <f aca="false">IF($B15="","",IF(F15=0,0,ROUND(K15*E15/(F15*Тохиргоо!$C$11)*Тохиргоо!$C$10,0)))</f>
        <v/>
      </c>
      <c r="M15" s="36"/>
      <c r="N15" s="51" t="str">
        <f aca="false">IF($B15="","",IF(F15=0,0,ROUND(Ажилтнууд!$J15*G15/F15,0)))</f>
        <v/>
      </c>
      <c r="O15" s="52" t="str">
        <f aca="false">IF($B15="","",H15+I15+J15+L15+M15+N15)</f>
        <v/>
      </c>
      <c r="P15" s="51" t="str">
        <f aca="false">IF($B15="","",MIN(O15,Тохиргоо!$C$16))</f>
        <v/>
      </c>
      <c r="Q15" s="51" t="str">
        <f aca="false">IF($B15="","",ROUND(P15*Тохиргоо!$C$20,0))</f>
        <v/>
      </c>
      <c r="R15" s="51" t="str">
        <f aca="false">IF($B15="","",ROUND(P15*Тохиргоо!$C$21,0))</f>
        <v/>
      </c>
      <c r="S15" s="51" t="str">
        <f aca="false">IF($B15="","",O15-Q15-R15)</f>
        <v/>
      </c>
      <c r="T15" s="51" t="str">
        <f aca="false">IF($B15="","",IF(Ажилтнууд!$K15="Тийм",0,VLOOKUP(S15,'ХХОАТ хүснэгт'!$N$6:$P$10,3,TRUE())+(S15-VLOOKUP(S15,'ХХОАТ хүснэгт'!$N$6:$P$10,1,TRUE()))*VLOOKUP(S15,'ХХОАТ хүснэгт'!$N$6:$P$10,2,TRUE())))</f>
        <v/>
      </c>
      <c r="U15" s="51" t="str">
        <f aca="false">IF($B15="","",IF(OR(Ажилтнууд!$K15="Тийм",Тохиргоо!$C$32&lt;&gt;"2026"),0,MIN(T15,INDEX('ХХОАТ хүснэгт'!$C$17:$C$23,COUNTIF('ХХОАТ хүснэгт'!$B$17:$B$23,"&lt;"&amp;S15)+1))))</f>
        <v/>
      </c>
      <c r="V15" s="51" t="str">
        <f aca="false">IF($B15="","",ROUND(MAX(0,T15-U15),0))</f>
        <v/>
      </c>
      <c r="W15" s="42" t="str">
        <f aca="false">IF($B15="","",Урьдчилгаа!$H15)</f>
        <v/>
      </c>
      <c r="X15" s="36"/>
      <c r="Y15" s="51" t="str">
        <f aca="false">IF($B15="","",Q15+R15+V15+W15+X15)</f>
        <v/>
      </c>
      <c r="Z15" s="52" t="str">
        <f aca="false">IF($B15="","",O15-Y15)</f>
        <v/>
      </c>
      <c r="AA15" s="11"/>
    </row>
    <row r="16" customFormat="false" ht="15" hidden="false" customHeight="false" outlineLevel="0" collapsed="false">
      <c r="A16" s="7" t="str">
        <f aca="false">IF($B16="","",ROW()-4)</f>
        <v/>
      </c>
      <c r="B16" s="41" t="str">
        <f aca="false">IF(Ажилтнууд!$C16="","",LEFT(Ажилтнууд!$B16,1)&amp;"."&amp;Ажилтнууд!$C16)</f>
        <v/>
      </c>
      <c r="C16" s="41" t="str">
        <f aca="false">IF($B16="","",Ажилтнууд!$D16)</f>
        <v/>
      </c>
      <c r="D16" s="41" t="str">
        <f aca="false">IF($B16="","",Ажилтнууд!$F16)</f>
        <v/>
      </c>
      <c r="E16" s="42" t="str">
        <f aca="false">IF($B16="","",Ажилтнууд!$G16)</f>
        <v/>
      </c>
      <c r="F16" s="43" t="str">
        <f aca="false">IF($B16="","",Тохиргоо!$C$7)</f>
        <v/>
      </c>
      <c r="G16" s="44"/>
      <c r="H16" s="51" t="str">
        <f aca="false">IF($B16="","",IF(F16=0,0,ROUND(E16*G16/F16,0)))</f>
        <v/>
      </c>
      <c r="I16" s="51" t="str">
        <f aca="false">IF($B16="","",ROUND(H16*Ажилтнууд!$H16,0))</f>
        <v/>
      </c>
      <c r="J16" s="51" t="str">
        <f aca="false">IF($B16="","",ROUND(H16*Ажилтнууд!$I16,0))</f>
        <v/>
      </c>
      <c r="K16" s="44"/>
      <c r="L16" s="51" t="str">
        <f aca="false">IF($B16="","",IF(F16=0,0,ROUND(K16*E16/(F16*Тохиргоо!$C$11)*Тохиргоо!$C$10,0)))</f>
        <v/>
      </c>
      <c r="M16" s="36"/>
      <c r="N16" s="51" t="str">
        <f aca="false">IF($B16="","",IF(F16=0,0,ROUND(Ажилтнууд!$J16*G16/F16,0)))</f>
        <v/>
      </c>
      <c r="O16" s="52" t="str">
        <f aca="false">IF($B16="","",H16+I16+J16+L16+M16+N16)</f>
        <v/>
      </c>
      <c r="P16" s="51" t="str">
        <f aca="false">IF($B16="","",MIN(O16,Тохиргоо!$C$16))</f>
        <v/>
      </c>
      <c r="Q16" s="51" t="str">
        <f aca="false">IF($B16="","",ROUND(P16*Тохиргоо!$C$20,0))</f>
        <v/>
      </c>
      <c r="R16" s="51" t="str">
        <f aca="false">IF($B16="","",ROUND(P16*Тохиргоо!$C$21,0))</f>
        <v/>
      </c>
      <c r="S16" s="51" t="str">
        <f aca="false">IF($B16="","",O16-Q16-R16)</f>
        <v/>
      </c>
      <c r="T16" s="51" t="str">
        <f aca="false">IF($B16="","",IF(Ажилтнууд!$K16="Тийм",0,VLOOKUP(S16,'ХХОАТ хүснэгт'!$N$6:$P$10,3,TRUE())+(S16-VLOOKUP(S16,'ХХОАТ хүснэгт'!$N$6:$P$10,1,TRUE()))*VLOOKUP(S16,'ХХОАТ хүснэгт'!$N$6:$P$10,2,TRUE())))</f>
        <v/>
      </c>
      <c r="U16" s="51" t="str">
        <f aca="false">IF($B16="","",IF(OR(Ажилтнууд!$K16="Тийм",Тохиргоо!$C$32&lt;&gt;"2026"),0,MIN(T16,INDEX('ХХОАТ хүснэгт'!$C$17:$C$23,COUNTIF('ХХОАТ хүснэгт'!$B$17:$B$23,"&lt;"&amp;S16)+1))))</f>
        <v/>
      </c>
      <c r="V16" s="51" t="str">
        <f aca="false">IF($B16="","",ROUND(MAX(0,T16-U16),0))</f>
        <v/>
      </c>
      <c r="W16" s="42" t="str">
        <f aca="false">IF($B16="","",Урьдчилгаа!$H16)</f>
        <v/>
      </c>
      <c r="X16" s="36"/>
      <c r="Y16" s="51" t="str">
        <f aca="false">IF($B16="","",Q16+R16+V16+W16+X16)</f>
        <v/>
      </c>
      <c r="Z16" s="52" t="str">
        <f aca="false">IF($B16="","",O16-Y16)</f>
        <v/>
      </c>
      <c r="AA16" s="11"/>
    </row>
    <row r="17" customFormat="false" ht="15" hidden="false" customHeight="false" outlineLevel="0" collapsed="false">
      <c r="A17" s="7" t="str">
        <f aca="false">IF($B17="","",ROW()-4)</f>
        <v/>
      </c>
      <c r="B17" s="41" t="str">
        <f aca="false">IF(Ажилтнууд!$C17="","",LEFT(Ажилтнууд!$B17,1)&amp;"."&amp;Ажилтнууд!$C17)</f>
        <v/>
      </c>
      <c r="C17" s="41" t="str">
        <f aca="false">IF($B17="","",Ажилтнууд!$D17)</f>
        <v/>
      </c>
      <c r="D17" s="41" t="str">
        <f aca="false">IF($B17="","",Ажилтнууд!$F17)</f>
        <v/>
      </c>
      <c r="E17" s="42" t="str">
        <f aca="false">IF($B17="","",Ажилтнууд!$G17)</f>
        <v/>
      </c>
      <c r="F17" s="43" t="str">
        <f aca="false">IF($B17="","",Тохиргоо!$C$7)</f>
        <v/>
      </c>
      <c r="G17" s="44"/>
      <c r="H17" s="51" t="str">
        <f aca="false">IF($B17="","",IF(F17=0,0,ROUND(E17*G17/F17,0)))</f>
        <v/>
      </c>
      <c r="I17" s="51" t="str">
        <f aca="false">IF($B17="","",ROUND(H17*Ажилтнууд!$H17,0))</f>
        <v/>
      </c>
      <c r="J17" s="51" t="str">
        <f aca="false">IF($B17="","",ROUND(H17*Ажилтнууд!$I17,0))</f>
        <v/>
      </c>
      <c r="K17" s="44"/>
      <c r="L17" s="51" t="str">
        <f aca="false">IF($B17="","",IF(F17=0,0,ROUND(K17*E17/(F17*Тохиргоо!$C$11)*Тохиргоо!$C$10,0)))</f>
        <v/>
      </c>
      <c r="M17" s="36"/>
      <c r="N17" s="51" t="str">
        <f aca="false">IF($B17="","",IF(F17=0,0,ROUND(Ажилтнууд!$J17*G17/F17,0)))</f>
        <v/>
      </c>
      <c r="O17" s="52" t="str">
        <f aca="false">IF($B17="","",H17+I17+J17+L17+M17+N17)</f>
        <v/>
      </c>
      <c r="P17" s="51" t="str">
        <f aca="false">IF($B17="","",MIN(O17,Тохиргоо!$C$16))</f>
        <v/>
      </c>
      <c r="Q17" s="51" t="str">
        <f aca="false">IF($B17="","",ROUND(P17*Тохиргоо!$C$20,0))</f>
        <v/>
      </c>
      <c r="R17" s="51" t="str">
        <f aca="false">IF($B17="","",ROUND(P17*Тохиргоо!$C$21,0))</f>
        <v/>
      </c>
      <c r="S17" s="51" t="str">
        <f aca="false">IF($B17="","",O17-Q17-R17)</f>
        <v/>
      </c>
      <c r="T17" s="51" t="str">
        <f aca="false">IF($B17="","",IF(Ажилтнууд!$K17="Тийм",0,VLOOKUP(S17,'ХХОАТ хүснэгт'!$N$6:$P$10,3,TRUE())+(S17-VLOOKUP(S17,'ХХОАТ хүснэгт'!$N$6:$P$10,1,TRUE()))*VLOOKUP(S17,'ХХОАТ хүснэгт'!$N$6:$P$10,2,TRUE())))</f>
        <v/>
      </c>
      <c r="U17" s="51" t="str">
        <f aca="false">IF($B17="","",IF(OR(Ажилтнууд!$K17="Тийм",Тохиргоо!$C$32&lt;&gt;"2026"),0,MIN(T17,INDEX('ХХОАТ хүснэгт'!$C$17:$C$23,COUNTIF('ХХОАТ хүснэгт'!$B$17:$B$23,"&lt;"&amp;S17)+1))))</f>
        <v/>
      </c>
      <c r="V17" s="51" t="str">
        <f aca="false">IF($B17="","",ROUND(MAX(0,T17-U17),0))</f>
        <v/>
      </c>
      <c r="W17" s="42" t="str">
        <f aca="false">IF($B17="","",Урьдчилгаа!$H17)</f>
        <v/>
      </c>
      <c r="X17" s="36"/>
      <c r="Y17" s="51" t="str">
        <f aca="false">IF($B17="","",Q17+R17+V17+W17+X17)</f>
        <v/>
      </c>
      <c r="Z17" s="52" t="str">
        <f aca="false">IF($B17="","",O17-Y17)</f>
        <v/>
      </c>
      <c r="AA17" s="11"/>
    </row>
    <row r="18" customFormat="false" ht="15" hidden="false" customHeight="false" outlineLevel="0" collapsed="false">
      <c r="A18" s="7" t="str">
        <f aca="false">IF($B18="","",ROW()-4)</f>
        <v/>
      </c>
      <c r="B18" s="41" t="str">
        <f aca="false">IF(Ажилтнууд!$C18="","",LEFT(Ажилтнууд!$B18,1)&amp;"."&amp;Ажилтнууд!$C18)</f>
        <v/>
      </c>
      <c r="C18" s="41" t="str">
        <f aca="false">IF($B18="","",Ажилтнууд!$D18)</f>
        <v/>
      </c>
      <c r="D18" s="41" t="str">
        <f aca="false">IF($B18="","",Ажилтнууд!$F18)</f>
        <v/>
      </c>
      <c r="E18" s="42" t="str">
        <f aca="false">IF($B18="","",Ажилтнууд!$G18)</f>
        <v/>
      </c>
      <c r="F18" s="43" t="str">
        <f aca="false">IF($B18="","",Тохиргоо!$C$7)</f>
        <v/>
      </c>
      <c r="G18" s="44"/>
      <c r="H18" s="51" t="str">
        <f aca="false">IF($B18="","",IF(F18=0,0,ROUND(E18*G18/F18,0)))</f>
        <v/>
      </c>
      <c r="I18" s="51" t="str">
        <f aca="false">IF($B18="","",ROUND(H18*Ажилтнууд!$H18,0))</f>
        <v/>
      </c>
      <c r="J18" s="51" t="str">
        <f aca="false">IF($B18="","",ROUND(H18*Ажилтнууд!$I18,0))</f>
        <v/>
      </c>
      <c r="K18" s="44"/>
      <c r="L18" s="51" t="str">
        <f aca="false">IF($B18="","",IF(F18=0,0,ROUND(K18*E18/(F18*Тохиргоо!$C$11)*Тохиргоо!$C$10,0)))</f>
        <v/>
      </c>
      <c r="M18" s="36"/>
      <c r="N18" s="51" t="str">
        <f aca="false">IF($B18="","",IF(F18=0,0,ROUND(Ажилтнууд!$J18*G18/F18,0)))</f>
        <v/>
      </c>
      <c r="O18" s="52" t="str">
        <f aca="false">IF($B18="","",H18+I18+J18+L18+M18+N18)</f>
        <v/>
      </c>
      <c r="P18" s="51" t="str">
        <f aca="false">IF($B18="","",MIN(O18,Тохиргоо!$C$16))</f>
        <v/>
      </c>
      <c r="Q18" s="51" t="str">
        <f aca="false">IF($B18="","",ROUND(P18*Тохиргоо!$C$20,0))</f>
        <v/>
      </c>
      <c r="R18" s="51" t="str">
        <f aca="false">IF($B18="","",ROUND(P18*Тохиргоо!$C$21,0))</f>
        <v/>
      </c>
      <c r="S18" s="51" t="str">
        <f aca="false">IF($B18="","",O18-Q18-R18)</f>
        <v/>
      </c>
      <c r="T18" s="51" t="str">
        <f aca="false">IF($B18="","",IF(Ажилтнууд!$K18="Тийм",0,VLOOKUP(S18,'ХХОАТ хүснэгт'!$N$6:$P$10,3,TRUE())+(S18-VLOOKUP(S18,'ХХОАТ хүснэгт'!$N$6:$P$10,1,TRUE()))*VLOOKUP(S18,'ХХОАТ хүснэгт'!$N$6:$P$10,2,TRUE())))</f>
        <v/>
      </c>
      <c r="U18" s="51" t="str">
        <f aca="false">IF($B18="","",IF(OR(Ажилтнууд!$K18="Тийм",Тохиргоо!$C$32&lt;&gt;"2026"),0,MIN(T18,INDEX('ХХОАТ хүснэгт'!$C$17:$C$23,COUNTIF('ХХОАТ хүснэгт'!$B$17:$B$23,"&lt;"&amp;S18)+1))))</f>
        <v/>
      </c>
      <c r="V18" s="51" t="str">
        <f aca="false">IF($B18="","",ROUND(MAX(0,T18-U18),0))</f>
        <v/>
      </c>
      <c r="W18" s="42" t="str">
        <f aca="false">IF($B18="","",Урьдчилгаа!$H18)</f>
        <v/>
      </c>
      <c r="X18" s="36"/>
      <c r="Y18" s="51" t="str">
        <f aca="false">IF($B18="","",Q18+R18+V18+W18+X18)</f>
        <v/>
      </c>
      <c r="Z18" s="52" t="str">
        <f aca="false">IF($B18="","",O18-Y18)</f>
        <v/>
      </c>
      <c r="AA18" s="11"/>
    </row>
    <row r="19" customFormat="false" ht="15" hidden="false" customHeight="false" outlineLevel="0" collapsed="false">
      <c r="A19" s="7" t="str">
        <f aca="false">IF($B19="","",ROW()-4)</f>
        <v/>
      </c>
      <c r="B19" s="41" t="str">
        <f aca="false">IF(Ажилтнууд!$C19="","",LEFT(Ажилтнууд!$B19,1)&amp;"."&amp;Ажилтнууд!$C19)</f>
        <v/>
      </c>
      <c r="C19" s="41" t="str">
        <f aca="false">IF($B19="","",Ажилтнууд!$D19)</f>
        <v/>
      </c>
      <c r="D19" s="41" t="str">
        <f aca="false">IF($B19="","",Ажилтнууд!$F19)</f>
        <v/>
      </c>
      <c r="E19" s="42" t="str">
        <f aca="false">IF($B19="","",Ажилтнууд!$G19)</f>
        <v/>
      </c>
      <c r="F19" s="43" t="str">
        <f aca="false">IF($B19="","",Тохиргоо!$C$7)</f>
        <v/>
      </c>
      <c r="G19" s="44"/>
      <c r="H19" s="51" t="str">
        <f aca="false">IF($B19="","",IF(F19=0,0,ROUND(E19*G19/F19,0)))</f>
        <v/>
      </c>
      <c r="I19" s="51" t="str">
        <f aca="false">IF($B19="","",ROUND(H19*Ажилтнууд!$H19,0))</f>
        <v/>
      </c>
      <c r="J19" s="51" t="str">
        <f aca="false">IF($B19="","",ROUND(H19*Ажилтнууд!$I19,0))</f>
        <v/>
      </c>
      <c r="K19" s="44"/>
      <c r="L19" s="51" t="str">
        <f aca="false">IF($B19="","",IF(F19=0,0,ROUND(K19*E19/(F19*Тохиргоо!$C$11)*Тохиргоо!$C$10,0)))</f>
        <v/>
      </c>
      <c r="M19" s="36"/>
      <c r="N19" s="51" t="str">
        <f aca="false">IF($B19="","",IF(F19=0,0,ROUND(Ажилтнууд!$J19*G19/F19,0)))</f>
        <v/>
      </c>
      <c r="O19" s="52" t="str">
        <f aca="false">IF($B19="","",H19+I19+J19+L19+M19+N19)</f>
        <v/>
      </c>
      <c r="P19" s="51" t="str">
        <f aca="false">IF($B19="","",MIN(O19,Тохиргоо!$C$16))</f>
        <v/>
      </c>
      <c r="Q19" s="51" t="str">
        <f aca="false">IF($B19="","",ROUND(P19*Тохиргоо!$C$20,0))</f>
        <v/>
      </c>
      <c r="R19" s="51" t="str">
        <f aca="false">IF($B19="","",ROUND(P19*Тохиргоо!$C$21,0))</f>
        <v/>
      </c>
      <c r="S19" s="51" t="str">
        <f aca="false">IF($B19="","",O19-Q19-R19)</f>
        <v/>
      </c>
      <c r="T19" s="51" t="str">
        <f aca="false">IF($B19="","",IF(Ажилтнууд!$K19="Тийм",0,VLOOKUP(S19,'ХХОАТ хүснэгт'!$N$6:$P$10,3,TRUE())+(S19-VLOOKUP(S19,'ХХОАТ хүснэгт'!$N$6:$P$10,1,TRUE()))*VLOOKUP(S19,'ХХОАТ хүснэгт'!$N$6:$P$10,2,TRUE())))</f>
        <v/>
      </c>
      <c r="U19" s="51" t="str">
        <f aca="false">IF($B19="","",IF(OR(Ажилтнууд!$K19="Тийм",Тохиргоо!$C$32&lt;&gt;"2026"),0,MIN(T19,INDEX('ХХОАТ хүснэгт'!$C$17:$C$23,COUNTIF('ХХОАТ хүснэгт'!$B$17:$B$23,"&lt;"&amp;S19)+1))))</f>
        <v/>
      </c>
      <c r="V19" s="51" t="str">
        <f aca="false">IF($B19="","",ROUND(MAX(0,T19-U19),0))</f>
        <v/>
      </c>
      <c r="W19" s="42" t="str">
        <f aca="false">IF($B19="","",Урьдчилгаа!$H19)</f>
        <v/>
      </c>
      <c r="X19" s="36"/>
      <c r="Y19" s="51" t="str">
        <f aca="false">IF($B19="","",Q19+R19+V19+W19+X19)</f>
        <v/>
      </c>
      <c r="Z19" s="52" t="str">
        <f aca="false">IF($B19="","",O19-Y19)</f>
        <v/>
      </c>
      <c r="AA19" s="11"/>
    </row>
    <row r="20" customFormat="false" ht="15" hidden="false" customHeight="false" outlineLevel="0" collapsed="false">
      <c r="A20" s="7" t="str">
        <f aca="false">IF($B20="","",ROW()-4)</f>
        <v/>
      </c>
      <c r="B20" s="41" t="str">
        <f aca="false">IF(Ажилтнууд!$C20="","",LEFT(Ажилтнууд!$B20,1)&amp;"."&amp;Ажилтнууд!$C20)</f>
        <v/>
      </c>
      <c r="C20" s="41" t="str">
        <f aca="false">IF($B20="","",Ажилтнууд!$D20)</f>
        <v/>
      </c>
      <c r="D20" s="41" t="str">
        <f aca="false">IF($B20="","",Ажилтнууд!$F20)</f>
        <v/>
      </c>
      <c r="E20" s="42" t="str">
        <f aca="false">IF($B20="","",Ажилтнууд!$G20)</f>
        <v/>
      </c>
      <c r="F20" s="43" t="str">
        <f aca="false">IF($B20="","",Тохиргоо!$C$7)</f>
        <v/>
      </c>
      <c r="G20" s="44"/>
      <c r="H20" s="51" t="str">
        <f aca="false">IF($B20="","",IF(F20=0,0,ROUND(E20*G20/F20,0)))</f>
        <v/>
      </c>
      <c r="I20" s="51" t="str">
        <f aca="false">IF($B20="","",ROUND(H20*Ажилтнууд!$H20,0))</f>
        <v/>
      </c>
      <c r="J20" s="51" t="str">
        <f aca="false">IF($B20="","",ROUND(H20*Ажилтнууд!$I20,0))</f>
        <v/>
      </c>
      <c r="K20" s="44"/>
      <c r="L20" s="51" t="str">
        <f aca="false">IF($B20="","",IF(F20=0,0,ROUND(K20*E20/(F20*Тохиргоо!$C$11)*Тохиргоо!$C$10,0)))</f>
        <v/>
      </c>
      <c r="M20" s="36"/>
      <c r="N20" s="51" t="str">
        <f aca="false">IF($B20="","",IF(F20=0,0,ROUND(Ажилтнууд!$J20*G20/F20,0)))</f>
        <v/>
      </c>
      <c r="O20" s="52" t="str">
        <f aca="false">IF($B20="","",H20+I20+J20+L20+M20+N20)</f>
        <v/>
      </c>
      <c r="P20" s="51" t="str">
        <f aca="false">IF($B20="","",MIN(O20,Тохиргоо!$C$16))</f>
        <v/>
      </c>
      <c r="Q20" s="51" t="str">
        <f aca="false">IF($B20="","",ROUND(P20*Тохиргоо!$C$20,0))</f>
        <v/>
      </c>
      <c r="R20" s="51" t="str">
        <f aca="false">IF($B20="","",ROUND(P20*Тохиргоо!$C$21,0))</f>
        <v/>
      </c>
      <c r="S20" s="51" t="str">
        <f aca="false">IF($B20="","",O20-Q20-R20)</f>
        <v/>
      </c>
      <c r="T20" s="51" t="str">
        <f aca="false">IF($B20="","",IF(Ажилтнууд!$K20="Тийм",0,VLOOKUP(S20,'ХХОАТ хүснэгт'!$N$6:$P$10,3,TRUE())+(S20-VLOOKUP(S20,'ХХОАТ хүснэгт'!$N$6:$P$10,1,TRUE()))*VLOOKUP(S20,'ХХОАТ хүснэгт'!$N$6:$P$10,2,TRUE())))</f>
        <v/>
      </c>
      <c r="U20" s="51" t="str">
        <f aca="false">IF($B20="","",IF(OR(Ажилтнууд!$K20="Тийм",Тохиргоо!$C$32&lt;&gt;"2026"),0,MIN(T20,INDEX('ХХОАТ хүснэгт'!$C$17:$C$23,COUNTIF('ХХОАТ хүснэгт'!$B$17:$B$23,"&lt;"&amp;S20)+1))))</f>
        <v/>
      </c>
      <c r="V20" s="51" t="str">
        <f aca="false">IF($B20="","",ROUND(MAX(0,T20-U20),0))</f>
        <v/>
      </c>
      <c r="W20" s="42" t="str">
        <f aca="false">IF($B20="","",Урьдчилгаа!$H20)</f>
        <v/>
      </c>
      <c r="X20" s="36"/>
      <c r="Y20" s="51" t="str">
        <f aca="false">IF($B20="","",Q20+R20+V20+W20+X20)</f>
        <v/>
      </c>
      <c r="Z20" s="52" t="str">
        <f aca="false">IF($B20="","",O20-Y20)</f>
        <v/>
      </c>
      <c r="AA20" s="11"/>
    </row>
    <row r="21" customFormat="false" ht="15" hidden="false" customHeight="false" outlineLevel="0" collapsed="false">
      <c r="A21" s="7" t="str">
        <f aca="false">IF($B21="","",ROW()-4)</f>
        <v/>
      </c>
      <c r="B21" s="41" t="str">
        <f aca="false">IF(Ажилтнууд!$C21="","",LEFT(Ажилтнууд!$B21,1)&amp;"."&amp;Ажилтнууд!$C21)</f>
        <v/>
      </c>
      <c r="C21" s="41" t="str">
        <f aca="false">IF($B21="","",Ажилтнууд!$D21)</f>
        <v/>
      </c>
      <c r="D21" s="41" t="str">
        <f aca="false">IF($B21="","",Ажилтнууд!$F21)</f>
        <v/>
      </c>
      <c r="E21" s="42" t="str">
        <f aca="false">IF($B21="","",Ажилтнууд!$G21)</f>
        <v/>
      </c>
      <c r="F21" s="43" t="str">
        <f aca="false">IF($B21="","",Тохиргоо!$C$7)</f>
        <v/>
      </c>
      <c r="G21" s="44"/>
      <c r="H21" s="51" t="str">
        <f aca="false">IF($B21="","",IF(F21=0,0,ROUND(E21*G21/F21,0)))</f>
        <v/>
      </c>
      <c r="I21" s="51" t="str">
        <f aca="false">IF($B21="","",ROUND(H21*Ажилтнууд!$H21,0))</f>
        <v/>
      </c>
      <c r="J21" s="51" t="str">
        <f aca="false">IF($B21="","",ROUND(H21*Ажилтнууд!$I21,0))</f>
        <v/>
      </c>
      <c r="K21" s="44"/>
      <c r="L21" s="51" t="str">
        <f aca="false">IF($B21="","",IF(F21=0,0,ROUND(K21*E21/(F21*Тохиргоо!$C$11)*Тохиргоо!$C$10,0)))</f>
        <v/>
      </c>
      <c r="M21" s="36"/>
      <c r="N21" s="51" t="str">
        <f aca="false">IF($B21="","",IF(F21=0,0,ROUND(Ажилтнууд!$J21*G21/F21,0)))</f>
        <v/>
      </c>
      <c r="O21" s="52" t="str">
        <f aca="false">IF($B21="","",H21+I21+J21+L21+M21+N21)</f>
        <v/>
      </c>
      <c r="P21" s="51" t="str">
        <f aca="false">IF($B21="","",MIN(O21,Тохиргоо!$C$16))</f>
        <v/>
      </c>
      <c r="Q21" s="51" t="str">
        <f aca="false">IF($B21="","",ROUND(P21*Тохиргоо!$C$20,0))</f>
        <v/>
      </c>
      <c r="R21" s="51" t="str">
        <f aca="false">IF($B21="","",ROUND(P21*Тохиргоо!$C$21,0))</f>
        <v/>
      </c>
      <c r="S21" s="51" t="str">
        <f aca="false">IF($B21="","",O21-Q21-R21)</f>
        <v/>
      </c>
      <c r="T21" s="51" t="str">
        <f aca="false">IF($B21="","",IF(Ажилтнууд!$K21="Тийм",0,VLOOKUP(S21,'ХХОАТ хүснэгт'!$N$6:$P$10,3,TRUE())+(S21-VLOOKUP(S21,'ХХОАТ хүснэгт'!$N$6:$P$10,1,TRUE()))*VLOOKUP(S21,'ХХОАТ хүснэгт'!$N$6:$P$10,2,TRUE())))</f>
        <v/>
      </c>
      <c r="U21" s="51" t="str">
        <f aca="false">IF($B21="","",IF(OR(Ажилтнууд!$K21="Тийм",Тохиргоо!$C$32&lt;&gt;"2026"),0,MIN(T21,INDEX('ХХОАТ хүснэгт'!$C$17:$C$23,COUNTIF('ХХОАТ хүснэгт'!$B$17:$B$23,"&lt;"&amp;S21)+1))))</f>
        <v/>
      </c>
      <c r="V21" s="51" t="str">
        <f aca="false">IF($B21="","",ROUND(MAX(0,T21-U21),0))</f>
        <v/>
      </c>
      <c r="W21" s="42" t="str">
        <f aca="false">IF($B21="","",Урьдчилгаа!$H21)</f>
        <v/>
      </c>
      <c r="X21" s="36"/>
      <c r="Y21" s="51" t="str">
        <f aca="false">IF($B21="","",Q21+R21+V21+W21+X21)</f>
        <v/>
      </c>
      <c r="Z21" s="52" t="str">
        <f aca="false">IF($B21="","",O21-Y21)</f>
        <v/>
      </c>
      <c r="AA21" s="11"/>
    </row>
    <row r="22" customFormat="false" ht="15" hidden="false" customHeight="false" outlineLevel="0" collapsed="false">
      <c r="A22" s="7" t="str">
        <f aca="false">IF($B22="","",ROW()-4)</f>
        <v/>
      </c>
      <c r="B22" s="41" t="str">
        <f aca="false">IF(Ажилтнууд!$C22="","",LEFT(Ажилтнууд!$B22,1)&amp;"."&amp;Ажилтнууд!$C22)</f>
        <v/>
      </c>
      <c r="C22" s="41" t="str">
        <f aca="false">IF($B22="","",Ажилтнууд!$D22)</f>
        <v/>
      </c>
      <c r="D22" s="41" t="str">
        <f aca="false">IF($B22="","",Ажилтнууд!$F22)</f>
        <v/>
      </c>
      <c r="E22" s="42" t="str">
        <f aca="false">IF($B22="","",Ажилтнууд!$G22)</f>
        <v/>
      </c>
      <c r="F22" s="43" t="str">
        <f aca="false">IF($B22="","",Тохиргоо!$C$7)</f>
        <v/>
      </c>
      <c r="G22" s="44"/>
      <c r="H22" s="51" t="str">
        <f aca="false">IF($B22="","",IF(F22=0,0,ROUND(E22*G22/F22,0)))</f>
        <v/>
      </c>
      <c r="I22" s="51" t="str">
        <f aca="false">IF($B22="","",ROUND(H22*Ажилтнууд!$H22,0))</f>
        <v/>
      </c>
      <c r="J22" s="51" t="str">
        <f aca="false">IF($B22="","",ROUND(H22*Ажилтнууд!$I22,0))</f>
        <v/>
      </c>
      <c r="K22" s="44"/>
      <c r="L22" s="51" t="str">
        <f aca="false">IF($B22="","",IF(F22=0,0,ROUND(K22*E22/(F22*Тохиргоо!$C$11)*Тохиргоо!$C$10,0)))</f>
        <v/>
      </c>
      <c r="M22" s="36"/>
      <c r="N22" s="51" t="str">
        <f aca="false">IF($B22="","",IF(F22=0,0,ROUND(Ажилтнууд!$J22*G22/F22,0)))</f>
        <v/>
      </c>
      <c r="O22" s="52" t="str">
        <f aca="false">IF($B22="","",H22+I22+J22+L22+M22+N22)</f>
        <v/>
      </c>
      <c r="P22" s="51" t="str">
        <f aca="false">IF($B22="","",MIN(O22,Тохиргоо!$C$16))</f>
        <v/>
      </c>
      <c r="Q22" s="51" t="str">
        <f aca="false">IF($B22="","",ROUND(P22*Тохиргоо!$C$20,0))</f>
        <v/>
      </c>
      <c r="R22" s="51" t="str">
        <f aca="false">IF($B22="","",ROUND(P22*Тохиргоо!$C$21,0))</f>
        <v/>
      </c>
      <c r="S22" s="51" t="str">
        <f aca="false">IF($B22="","",O22-Q22-R22)</f>
        <v/>
      </c>
      <c r="T22" s="51" t="str">
        <f aca="false">IF($B22="","",IF(Ажилтнууд!$K22="Тийм",0,VLOOKUP(S22,'ХХОАТ хүснэгт'!$N$6:$P$10,3,TRUE())+(S22-VLOOKUP(S22,'ХХОАТ хүснэгт'!$N$6:$P$10,1,TRUE()))*VLOOKUP(S22,'ХХОАТ хүснэгт'!$N$6:$P$10,2,TRUE())))</f>
        <v/>
      </c>
      <c r="U22" s="51" t="str">
        <f aca="false">IF($B22="","",IF(OR(Ажилтнууд!$K22="Тийм",Тохиргоо!$C$32&lt;&gt;"2026"),0,MIN(T22,INDEX('ХХОАТ хүснэгт'!$C$17:$C$23,COUNTIF('ХХОАТ хүснэгт'!$B$17:$B$23,"&lt;"&amp;S22)+1))))</f>
        <v/>
      </c>
      <c r="V22" s="51" t="str">
        <f aca="false">IF($B22="","",ROUND(MAX(0,T22-U22),0))</f>
        <v/>
      </c>
      <c r="W22" s="42" t="str">
        <f aca="false">IF($B22="","",Урьдчилгаа!$H22)</f>
        <v/>
      </c>
      <c r="X22" s="36"/>
      <c r="Y22" s="51" t="str">
        <f aca="false">IF($B22="","",Q22+R22+V22+W22+X22)</f>
        <v/>
      </c>
      <c r="Z22" s="52" t="str">
        <f aca="false">IF($B22="","",O22-Y22)</f>
        <v/>
      </c>
      <c r="AA22" s="11"/>
    </row>
    <row r="23" customFormat="false" ht="15" hidden="false" customHeight="false" outlineLevel="0" collapsed="false">
      <c r="A23" s="7" t="str">
        <f aca="false">IF($B23="","",ROW()-4)</f>
        <v/>
      </c>
      <c r="B23" s="41" t="str">
        <f aca="false">IF(Ажилтнууд!$C23="","",LEFT(Ажилтнууд!$B23,1)&amp;"."&amp;Ажилтнууд!$C23)</f>
        <v/>
      </c>
      <c r="C23" s="41" t="str">
        <f aca="false">IF($B23="","",Ажилтнууд!$D23)</f>
        <v/>
      </c>
      <c r="D23" s="41" t="str">
        <f aca="false">IF($B23="","",Ажилтнууд!$F23)</f>
        <v/>
      </c>
      <c r="E23" s="42" t="str">
        <f aca="false">IF($B23="","",Ажилтнууд!$G23)</f>
        <v/>
      </c>
      <c r="F23" s="43" t="str">
        <f aca="false">IF($B23="","",Тохиргоо!$C$7)</f>
        <v/>
      </c>
      <c r="G23" s="44"/>
      <c r="H23" s="51" t="str">
        <f aca="false">IF($B23="","",IF(F23=0,0,ROUND(E23*G23/F23,0)))</f>
        <v/>
      </c>
      <c r="I23" s="51" t="str">
        <f aca="false">IF($B23="","",ROUND(H23*Ажилтнууд!$H23,0))</f>
        <v/>
      </c>
      <c r="J23" s="51" t="str">
        <f aca="false">IF($B23="","",ROUND(H23*Ажилтнууд!$I23,0))</f>
        <v/>
      </c>
      <c r="K23" s="44"/>
      <c r="L23" s="51" t="str">
        <f aca="false">IF($B23="","",IF(F23=0,0,ROUND(K23*E23/(F23*Тохиргоо!$C$11)*Тохиргоо!$C$10,0)))</f>
        <v/>
      </c>
      <c r="M23" s="36"/>
      <c r="N23" s="51" t="str">
        <f aca="false">IF($B23="","",IF(F23=0,0,ROUND(Ажилтнууд!$J23*G23/F23,0)))</f>
        <v/>
      </c>
      <c r="O23" s="52" t="str">
        <f aca="false">IF($B23="","",H23+I23+J23+L23+M23+N23)</f>
        <v/>
      </c>
      <c r="P23" s="51" t="str">
        <f aca="false">IF($B23="","",MIN(O23,Тохиргоо!$C$16))</f>
        <v/>
      </c>
      <c r="Q23" s="51" t="str">
        <f aca="false">IF($B23="","",ROUND(P23*Тохиргоо!$C$20,0))</f>
        <v/>
      </c>
      <c r="R23" s="51" t="str">
        <f aca="false">IF($B23="","",ROUND(P23*Тохиргоо!$C$21,0))</f>
        <v/>
      </c>
      <c r="S23" s="51" t="str">
        <f aca="false">IF($B23="","",O23-Q23-R23)</f>
        <v/>
      </c>
      <c r="T23" s="51" t="str">
        <f aca="false">IF($B23="","",IF(Ажилтнууд!$K23="Тийм",0,VLOOKUP(S23,'ХХОАТ хүснэгт'!$N$6:$P$10,3,TRUE())+(S23-VLOOKUP(S23,'ХХОАТ хүснэгт'!$N$6:$P$10,1,TRUE()))*VLOOKUP(S23,'ХХОАТ хүснэгт'!$N$6:$P$10,2,TRUE())))</f>
        <v/>
      </c>
      <c r="U23" s="51" t="str">
        <f aca="false">IF($B23="","",IF(OR(Ажилтнууд!$K23="Тийм",Тохиргоо!$C$32&lt;&gt;"2026"),0,MIN(T23,INDEX('ХХОАТ хүснэгт'!$C$17:$C$23,COUNTIF('ХХОАТ хүснэгт'!$B$17:$B$23,"&lt;"&amp;S23)+1))))</f>
        <v/>
      </c>
      <c r="V23" s="51" t="str">
        <f aca="false">IF($B23="","",ROUND(MAX(0,T23-U23),0))</f>
        <v/>
      </c>
      <c r="W23" s="42" t="str">
        <f aca="false">IF($B23="","",Урьдчилгаа!$H23)</f>
        <v/>
      </c>
      <c r="X23" s="36"/>
      <c r="Y23" s="51" t="str">
        <f aca="false">IF($B23="","",Q23+R23+V23+W23+X23)</f>
        <v/>
      </c>
      <c r="Z23" s="52" t="str">
        <f aca="false">IF($B23="","",O23-Y23)</f>
        <v/>
      </c>
      <c r="AA23" s="11"/>
    </row>
    <row r="24" customFormat="false" ht="15" hidden="false" customHeight="false" outlineLevel="0" collapsed="false">
      <c r="A24" s="7" t="str">
        <f aca="false">IF($B24="","",ROW()-4)</f>
        <v/>
      </c>
      <c r="B24" s="41" t="str">
        <f aca="false">IF(Ажилтнууд!$C24="","",LEFT(Ажилтнууд!$B24,1)&amp;"."&amp;Ажилтнууд!$C24)</f>
        <v/>
      </c>
      <c r="C24" s="41" t="str">
        <f aca="false">IF($B24="","",Ажилтнууд!$D24)</f>
        <v/>
      </c>
      <c r="D24" s="41" t="str">
        <f aca="false">IF($B24="","",Ажилтнууд!$F24)</f>
        <v/>
      </c>
      <c r="E24" s="42" t="str">
        <f aca="false">IF($B24="","",Ажилтнууд!$G24)</f>
        <v/>
      </c>
      <c r="F24" s="43" t="str">
        <f aca="false">IF($B24="","",Тохиргоо!$C$7)</f>
        <v/>
      </c>
      <c r="G24" s="44"/>
      <c r="H24" s="51" t="str">
        <f aca="false">IF($B24="","",IF(F24=0,0,ROUND(E24*G24/F24,0)))</f>
        <v/>
      </c>
      <c r="I24" s="51" t="str">
        <f aca="false">IF($B24="","",ROUND(H24*Ажилтнууд!$H24,0))</f>
        <v/>
      </c>
      <c r="J24" s="51" t="str">
        <f aca="false">IF($B24="","",ROUND(H24*Ажилтнууд!$I24,0))</f>
        <v/>
      </c>
      <c r="K24" s="44"/>
      <c r="L24" s="51" t="str">
        <f aca="false">IF($B24="","",IF(F24=0,0,ROUND(K24*E24/(F24*Тохиргоо!$C$11)*Тохиргоо!$C$10,0)))</f>
        <v/>
      </c>
      <c r="M24" s="36"/>
      <c r="N24" s="51" t="str">
        <f aca="false">IF($B24="","",IF(F24=0,0,ROUND(Ажилтнууд!$J24*G24/F24,0)))</f>
        <v/>
      </c>
      <c r="O24" s="52" t="str">
        <f aca="false">IF($B24="","",H24+I24+J24+L24+M24+N24)</f>
        <v/>
      </c>
      <c r="P24" s="51" t="str">
        <f aca="false">IF($B24="","",MIN(O24,Тохиргоо!$C$16))</f>
        <v/>
      </c>
      <c r="Q24" s="51" t="str">
        <f aca="false">IF($B24="","",ROUND(P24*Тохиргоо!$C$20,0))</f>
        <v/>
      </c>
      <c r="R24" s="51" t="str">
        <f aca="false">IF($B24="","",ROUND(P24*Тохиргоо!$C$21,0))</f>
        <v/>
      </c>
      <c r="S24" s="51" t="str">
        <f aca="false">IF($B24="","",O24-Q24-R24)</f>
        <v/>
      </c>
      <c r="T24" s="51" t="str">
        <f aca="false">IF($B24="","",IF(Ажилтнууд!$K24="Тийм",0,VLOOKUP(S24,'ХХОАТ хүснэгт'!$N$6:$P$10,3,TRUE())+(S24-VLOOKUP(S24,'ХХОАТ хүснэгт'!$N$6:$P$10,1,TRUE()))*VLOOKUP(S24,'ХХОАТ хүснэгт'!$N$6:$P$10,2,TRUE())))</f>
        <v/>
      </c>
      <c r="U24" s="51" t="str">
        <f aca="false">IF($B24="","",IF(OR(Ажилтнууд!$K24="Тийм",Тохиргоо!$C$32&lt;&gt;"2026"),0,MIN(T24,INDEX('ХХОАТ хүснэгт'!$C$17:$C$23,COUNTIF('ХХОАТ хүснэгт'!$B$17:$B$23,"&lt;"&amp;S24)+1))))</f>
        <v/>
      </c>
      <c r="V24" s="51" t="str">
        <f aca="false">IF($B24="","",ROUND(MAX(0,T24-U24),0))</f>
        <v/>
      </c>
      <c r="W24" s="42" t="str">
        <f aca="false">IF($B24="","",Урьдчилгаа!$H24)</f>
        <v/>
      </c>
      <c r="X24" s="36"/>
      <c r="Y24" s="51" t="str">
        <f aca="false">IF($B24="","",Q24+R24+V24+W24+X24)</f>
        <v/>
      </c>
      <c r="Z24" s="52" t="str">
        <f aca="false">IF($B24="","",O24-Y24)</f>
        <v/>
      </c>
      <c r="AA24" s="11"/>
    </row>
    <row r="25" customFormat="false" ht="15" hidden="false" customHeight="false" outlineLevel="0" collapsed="false">
      <c r="A25" s="7" t="str">
        <f aca="false">IF($B25="","",ROW()-4)</f>
        <v/>
      </c>
      <c r="B25" s="41" t="str">
        <f aca="false">IF(Ажилтнууд!$C25="","",LEFT(Ажилтнууд!$B25,1)&amp;"."&amp;Ажилтнууд!$C25)</f>
        <v/>
      </c>
      <c r="C25" s="41" t="str">
        <f aca="false">IF($B25="","",Ажилтнууд!$D25)</f>
        <v/>
      </c>
      <c r="D25" s="41" t="str">
        <f aca="false">IF($B25="","",Ажилтнууд!$F25)</f>
        <v/>
      </c>
      <c r="E25" s="42" t="str">
        <f aca="false">IF($B25="","",Ажилтнууд!$G25)</f>
        <v/>
      </c>
      <c r="F25" s="43" t="str">
        <f aca="false">IF($B25="","",Тохиргоо!$C$7)</f>
        <v/>
      </c>
      <c r="G25" s="44"/>
      <c r="H25" s="51" t="str">
        <f aca="false">IF($B25="","",IF(F25=0,0,ROUND(E25*G25/F25,0)))</f>
        <v/>
      </c>
      <c r="I25" s="51" t="str">
        <f aca="false">IF($B25="","",ROUND(H25*Ажилтнууд!$H25,0))</f>
        <v/>
      </c>
      <c r="J25" s="51" t="str">
        <f aca="false">IF($B25="","",ROUND(H25*Ажилтнууд!$I25,0))</f>
        <v/>
      </c>
      <c r="K25" s="44"/>
      <c r="L25" s="51" t="str">
        <f aca="false">IF($B25="","",IF(F25=0,0,ROUND(K25*E25/(F25*Тохиргоо!$C$11)*Тохиргоо!$C$10,0)))</f>
        <v/>
      </c>
      <c r="M25" s="36"/>
      <c r="N25" s="51" t="str">
        <f aca="false">IF($B25="","",IF(F25=0,0,ROUND(Ажилтнууд!$J25*G25/F25,0)))</f>
        <v/>
      </c>
      <c r="O25" s="52" t="str">
        <f aca="false">IF($B25="","",H25+I25+J25+L25+M25+N25)</f>
        <v/>
      </c>
      <c r="P25" s="51" t="str">
        <f aca="false">IF($B25="","",MIN(O25,Тохиргоо!$C$16))</f>
        <v/>
      </c>
      <c r="Q25" s="51" t="str">
        <f aca="false">IF($B25="","",ROUND(P25*Тохиргоо!$C$20,0))</f>
        <v/>
      </c>
      <c r="R25" s="51" t="str">
        <f aca="false">IF($B25="","",ROUND(P25*Тохиргоо!$C$21,0))</f>
        <v/>
      </c>
      <c r="S25" s="51" t="str">
        <f aca="false">IF($B25="","",O25-Q25-R25)</f>
        <v/>
      </c>
      <c r="T25" s="51" t="str">
        <f aca="false">IF($B25="","",IF(Ажилтнууд!$K25="Тийм",0,VLOOKUP(S25,'ХХОАТ хүснэгт'!$N$6:$P$10,3,TRUE())+(S25-VLOOKUP(S25,'ХХОАТ хүснэгт'!$N$6:$P$10,1,TRUE()))*VLOOKUP(S25,'ХХОАТ хүснэгт'!$N$6:$P$10,2,TRUE())))</f>
        <v/>
      </c>
      <c r="U25" s="51" t="str">
        <f aca="false">IF($B25="","",IF(OR(Ажилтнууд!$K25="Тийм",Тохиргоо!$C$32&lt;&gt;"2026"),0,MIN(T25,INDEX('ХХОАТ хүснэгт'!$C$17:$C$23,COUNTIF('ХХОАТ хүснэгт'!$B$17:$B$23,"&lt;"&amp;S25)+1))))</f>
        <v/>
      </c>
      <c r="V25" s="51" t="str">
        <f aca="false">IF($B25="","",ROUND(MAX(0,T25-U25),0))</f>
        <v/>
      </c>
      <c r="W25" s="42" t="str">
        <f aca="false">IF($B25="","",Урьдчилгаа!$H25)</f>
        <v/>
      </c>
      <c r="X25" s="36"/>
      <c r="Y25" s="51" t="str">
        <f aca="false">IF($B25="","",Q25+R25+V25+W25+X25)</f>
        <v/>
      </c>
      <c r="Z25" s="52" t="str">
        <f aca="false">IF($B25="","",O25-Y25)</f>
        <v/>
      </c>
      <c r="AA25" s="11"/>
    </row>
    <row r="26" customFormat="false" ht="15" hidden="false" customHeight="false" outlineLevel="0" collapsed="false">
      <c r="A26" s="7" t="str">
        <f aca="false">IF($B26="","",ROW()-4)</f>
        <v/>
      </c>
      <c r="B26" s="41" t="str">
        <f aca="false">IF(Ажилтнууд!$C26="","",LEFT(Ажилтнууд!$B26,1)&amp;"."&amp;Ажилтнууд!$C26)</f>
        <v/>
      </c>
      <c r="C26" s="41" t="str">
        <f aca="false">IF($B26="","",Ажилтнууд!$D26)</f>
        <v/>
      </c>
      <c r="D26" s="41" t="str">
        <f aca="false">IF($B26="","",Ажилтнууд!$F26)</f>
        <v/>
      </c>
      <c r="E26" s="42" t="str">
        <f aca="false">IF($B26="","",Ажилтнууд!$G26)</f>
        <v/>
      </c>
      <c r="F26" s="43" t="str">
        <f aca="false">IF($B26="","",Тохиргоо!$C$7)</f>
        <v/>
      </c>
      <c r="G26" s="44"/>
      <c r="H26" s="51" t="str">
        <f aca="false">IF($B26="","",IF(F26=0,0,ROUND(E26*G26/F26,0)))</f>
        <v/>
      </c>
      <c r="I26" s="51" t="str">
        <f aca="false">IF($B26="","",ROUND(H26*Ажилтнууд!$H26,0))</f>
        <v/>
      </c>
      <c r="J26" s="51" t="str">
        <f aca="false">IF($B26="","",ROUND(H26*Ажилтнууд!$I26,0))</f>
        <v/>
      </c>
      <c r="K26" s="44"/>
      <c r="L26" s="51" t="str">
        <f aca="false">IF($B26="","",IF(F26=0,0,ROUND(K26*E26/(F26*Тохиргоо!$C$11)*Тохиргоо!$C$10,0)))</f>
        <v/>
      </c>
      <c r="M26" s="36"/>
      <c r="N26" s="51" t="str">
        <f aca="false">IF($B26="","",IF(F26=0,0,ROUND(Ажилтнууд!$J26*G26/F26,0)))</f>
        <v/>
      </c>
      <c r="O26" s="52" t="str">
        <f aca="false">IF($B26="","",H26+I26+J26+L26+M26+N26)</f>
        <v/>
      </c>
      <c r="P26" s="51" t="str">
        <f aca="false">IF($B26="","",MIN(O26,Тохиргоо!$C$16))</f>
        <v/>
      </c>
      <c r="Q26" s="51" t="str">
        <f aca="false">IF($B26="","",ROUND(P26*Тохиргоо!$C$20,0))</f>
        <v/>
      </c>
      <c r="R26" s="51" t="str">
        <f aca="false">IF($B26="","",ROUND(P26*Тохиргоо!$C$21,0))</f>
        <v/>
      </c>
      <c r="S26" s="51" t="str">
        <f aca="false">IF($B26="","",O26-Q26-R26)</f>
        <v/>
      </c>
      <c r="T26" s="51" t="str">
        <f aca="false">IF($B26="","",IF(Ажилтнууд!$K26="Тийм",0,VLOOKUP(S26,'ХХОАТ хүснэгт'!$N$6:$P$10,3,TRUE())+(S26-VLOOKUP(S26,'ХХОАТ хүснэгт'!$N$6:$P$10,1,TRUE()))*VLOOKUP(S26,'ХХОАТ хүснэгт'!$N$6:$P$10,2,TRUE())))</f>
        <v/>
      </c>
      <c r="U26" s="51" t="str">
        <f aca="false">IF($B26="","",IF(OR(Ажилтнууд!$K26="Тийм",Тохиргоо!$C$32&lt;&gt;"2026"),0,MIN(T26,INDEX('ХХОАТ хүснэгт'!$C$17:$C$23,COUNTIF('ХХОАТ хүснэгт'!$B$17:$B$23,"&lt;"&amp;S26)+1))))</f>
        <v/>
      </c>
      <c r="V26" s="51" t="str">
        <f aca="false">IF($B26="","",ROUND(MAX(0,T26-U26),0))</f>
        <v/>
      </c>
      <c r="W26" s="42" t="str">
        <f aca="false">IF($B26="","",Урьдчилгаа!$H26)</f>
        <v/>
      </c>
      <c r="X26" s="36"/>
      <c r="Y26" s="51" t="str">
        <f aca="false">IF($B26="","",Q26+R26+V26+W26+X26)</f>
        <v/>
      </c>
      <c r="Z26" s="52" t="str">
        <f aca="false">IF($B26="","",O26-Y26)</f>
        <v/>
      </c>
      <c r="AA26" s="11"/>
    </row>
    <row r="27" customFormat="false" ht="15" hidden="false" customHeight="false" outlineLevel="0" collapsed="false">
      <c r="A27" s="7" t="str">
        <f aca="false">IF($B27="","",ROW()-4)</f>
        <v/>
      </c>
      <c r="B27" s="41" t="str">
        <f aca="false">IF(Ажилтнууд!$C27="","",LEFT(Ажилтнууд!$B27,1)&amp;"."&amp;Ажилтнууд!$C27)</f>
        <v/>
      </c>
      <c r="C27" s="41" t="str">
        <f aca="false">IF($B27="","",Ажилтнууд!$D27)</f>
        <v/>
      </c>
      <c r="D27" s="41" t="str">
        <f aca="false">IF($B27="","",Ажилтнууд!$F27)</f>
        <v/>
      </c>
      <c r="E27" s="42" t="str">
        <f aca="false">IF($B27="","",Ажилтнууд!$G27)</f>
        <v/>
      </c>
      <c r="F27" s="43" t="str">
        <f aca="false">IF($B27="","",Тохиргоо!$C$7)</f>
        <v/>
      </c>
      <c r="G27" s="44"/>
      <c r="H27" s="51" t="str">
        <f aca="false">IF($B27="","",IF(F27=0,0,ROUND(E27*G27/F27,0)))</f>
        <v/>
      </c>
      <c r="I27" s="51" t="str">
        <f aca="false">IF($B27="","",ROUND(H27*Ажилтнууд!$H27,0))</f>
        <v/>
      </c>
      <c r="J27" s="51" t="str">
        <f aca="false">IF($B27="","",ROUND(H27*Ажилтнууд!$I27,0))</f>
        <v/>
      </c>
      <c r="K27" s="44"/>
      <c r="L27" s="51" t="str">
        <f aca="false">IF($B27="","",IF(F27=0,0,ROUND(K27*E27/(F27*Тохиргоо!$C$11)*Тохиргоо!$C$10,0)))</f>
        <v/>
      </c>
      <c r="M27" s="36"/>
      <c r="N27" s="51" t="str">
        <f aca="false">IF($B27="","",IF(F27=0,0,ROUND(Ажилтнууд!$J27*G27/F27,0)))</f>
        <v/>
      </c>
      <c r="O27" s="52" t="str">
        <f aca="false">IF($B27="","",H27+I27+J27+L27+M27+N27)</f>
        <v/>
      </c>
      <c r="P27" s="51" t="str">
        <f aca="false">IF($B27="","",MIN(O27,Тохиргоо!$C$16))</f>
        <v/>
      </c>
      <c r="Q27" s="51" t="str">
        <f aca="false">IF($B27="","",ROUND(P27*Тохиргоо!$C$20,0))</f>
        <v/>
      </c>
      <c r="R27" s="51" t="str">
        <f aca="false">IF($B27="","",ROUND(P27*Тохиргоо!$C$21,0))</f>
        <v/>
      </c>
      <c r="S27" s="51" t="str">
        <f aca="false">IF($B27="","",O27-Q27-R27)</f>
        <v/>
      </c>
      <c r="T27" s="51" t="str">
        <f aca="false">IF($B27="","",IF(Ажилтнууд!$K27="Тийм",0,VLOOKUP(S27,'ХХОАТ хүснэгт'!$N$6:$P$10,3,TRUE())+(S27-VLOOKUP(S27,'ХХОАТ хүснэгт'!$N$6:$P$10,1,TRUE()))*VLOOKUP(S27,'ХХОАТ хүснэгт'!$N$6:$P$10,2,TRUE())))</f>
        <v/>
      </c>
      <c r="U27" s="51" t="str">
        <f aca="false">IF($B27="","",IF(OR(Ажилтнууд!$K27="Тийм",Тохиргоо!$C$32&lt;&gt;"2026"),0,MIN(T27,INDEX('ХХОАТ хүснэгт'!$C$17:$C$23,COUNTIF('ХХОАТ хүснэгт'!$B$17:$B$23,"&lt;"&amp;S27)+1))))</f>
        <v/>
      </c>
      <c r="V27" s="51" t="str">
        <f aca="false">IF($B27="","",ROUND(MAX(0,T27-U27),0))</f>
        <v/>
      </c>
      <c r="W27" s="42" t="str">
        <f aca="false">IF($B27="","",Урьдчилгаа!$H27)</f>
        <v/>
      </c>
      <c r="X27" s="36"/>
      <c r="Y27" s="51" t="str">
        <f aca="false">IF($B27="","",Q27+R27+V27+W27+X27)</f>
        <v/>
      </c>
      <c r="Z27" s="52" t="str">
        <f aca="false">IF($B27="","",O27-Y27)</f>
        <v/>
      </c>
      <c r="AA27" s="11"/>
    </row>
    <row r="28" customFormat="false" ht="15" hidden="false" customHeight="false" outlineLevel="0" collapsed="false">
      <c r="A28" s="7" t="str">
        <f aca="false">IF($B28="","",ROW()-4)</f>
        <v/>
      </c>
      <c r="B28" s="41" t="str">
        <f aca="false">IF(Ажилтнууд!$C28="","",LEFT(Ажилтнууд!$B28,1)&amp;"."&amp;Ажилтнууд!$C28)</f>
        <v/>
      </c>
      <c r="C28" s="41" t="str">
        <f aca="false">IF($B28="","",Ажилтнууд!$D28)</f>
        <v/>
      </c>
      <c r="D28" s="41" t="str">
        <f aca="false">IF($B28="","",Ажилтнууд!$F28)</f>
        <v/>
      </c>
      <c r="E28" s="42" t="str">
        <f aca="false">IF($B28="","",Ажилтнууд!$G28)</f>
        <v/>
      </c>
      <c r="F28" s="43" t="str">
        <f aca="false">IF($B28="","",Тохиргоо!$C$7)</f>
        <v/>
      </c>
      <c r="G28" s="44"/>
      <c r="H28" s="51" t="str">
        <f aca="false">IF($B28="","",IF(F28=0,0,ROUND(E28*G28/F28,0)))</f>
        <v/>
      </c>
      <c r="I28" s="51" t="str">
        <f aca="false">IF($B28="","",ROUND(H28*Ажилтнууд!$H28,0))</f>
        <v/>
      </c>
      <c r="J28" s="51" t="str">
        <f aca="false">IF($B28="","",ROUND(H28*Ажилтнууд!$I28,0))</f>
        <v/>
      </c>
      <c r="K28" s="44"/>
      <c r="L28" s="51" t="str">
        <f aca="false">IF($B28="","",IF(F28=0,0,ROUND(K28*E28/(F28*Тохиргоо!$C$11)*Тохиргоо!$C$10,0)))</f>
        <v/>
      </c>
      <c r="M28" s="36"/>
      <c r="N28" s="51" t="str">
        <f aca="false">IF($B28="","",IF(F28=0,0,ROUND(Ажилтнууд!$J28*G28/F28,0)))</f>
        <v/>
      </c>
      <c r="O28" s="52" t="str">
        <f aca="false">IF($B28="","",H28+I28+J28+L28+M28+N28)</f>
        <v/>
      </c>
      <c r="P28" s="51" t="str">
        <f aca="false">IF($B28="","",MIN(O28,Тохиргоо!$C$16))</f>
        <v/>
      </c>
      <c r="Q28" s="51" t="str">
        <f aca="false">IF($B28="","",ROUND(P28*Тохиргоо!$C$20,0))</f>
        <v/>
      </c>
      <c r="R28" s="51" t="str">
        <f aca="false">IF($B28="","",ROUND(P28*Тохиргоо!$C$21,0))</f>
        <v/>
      </c>
      <c r="S28" s="51" t="str">
        <f aca="false">IF($B28="","",O28-Q28-R28)</f>
        <v/>
      </c>
      <c r="T28" s="51" t="str">
        <f aca="false">IF($B28="","",IF(Ажилтнууд!$K28="Тийм",0,VLOOKUP(S28,'ХХОАТ хүснэгт'!$N$6:$P$10,3,TRUE())+(S28-VLOOKUP(S28,'ХХОАТ хүснэгт'!$N$6:$P$10,1,TRUE()))*VLOOKUP(S28,'ХХОАТ хүснэгт'!$N$6:$P$10,2,TRUE())))</f>
        <v/>
      </c>
      <c r="U28" s="51" t="str">
        <f aca="false">IF($B28="","",IF(OR(Ажилтнууд!$K28="Тийм",Тохиргоо!$C$32&lt;&gt;"2026"),0,MIN(T28,INDEX('ХХОАТ хүснэгт'!$C$17:$C$23,COUNTIF('ХХОАТ хүснэгт'!$B$17:$B$23,"&lt;"&amp;S28)+1))))</f>
        <v/>
      </c>
      <c r="V28" s="51" t="str">
        <f aca="false">IF($B28="","",ROUND(MAX(0,T28-U28),0))</f>
        <v/>
      </c>
      <c r="W28" s="42" t="str">
        <f aca="false">IF($B28="","",Урьдчилгаа!$H28)</f>
        <v/>
      </c>
      <c r="X28" s="36"/>
      <c r="Y28" s="51" t="str">
        <f aca="false">IF($B28="","",Q28+R28+V28+W28+X28)</f>
        <v/>
      </c>
      <c r="Z28" s="52" t="str">
        <f aca="false">IF($B28="","",O28-Y28)</f>
        <v/>
      </c>
      <c r="AA28" s="11"/>
    </row>
    <row r="29" customFormat="false" ht="15" hidden="false" customHeight="false" outlineLevel="0" collapsed="false">
      <c r="A29" s="7" t="str">
        <f aca="false">IF($B29="","",ROW()-4)</f>
        <v/>
      </c>
      <c r="B29" s="41" t="str">
        <f aca="false">IF(Ажилтнууд!$C29="","",LEFT(Ажилтнууд!$B29,1)&amp;"."&amp;Ажилтнууд!$C29)</f>
        <v/>
      </c>
      <c r="C29" s="41" t="str">
        <f aca="false">IF($B29="","",Ажилтнууд!$D29)</f>
        <v/>
      </c>
      <c r="D29" s="41" t="str">
        <f aca="false">IF($B29="","",Ажилтнууд!$F29)</f>
        <v/>
      </c>
      <c r="E29" s="42" t="str">
        <f aca="false">IF($B29="","",Ажилтнууд!$G29)</f>
        <v/>
      </c>
      <c r="F29" s="43" t="str">
        <f aca="false">IF($B29="","",Тохиргоо!$C$7)</f>
        <v/>
      </c>
      <c r="G29" s="44"/>
      <c r="H29" s="51" t="str">
        <f aca="false">IF($B29="","",IF(F29=0,0,ROUND(E29*G29/F29,0)))</f>
        <v/>
      </c>
      <c r="I29" s="51" t="str">
        <f aca="false">IF($B29="","",ROUND(H29*Ажилтнууд!$H29,0))</f>
        <v/>
      </c>
      <c r="J29" s="51" t="str">
        <f aca="false">IF($B29="","",ROUND(H29*Ажилтнууд!$I29,0))</f>
        <v/>
      </c>
      <c r="K29" s="44"/>
      <c r="L29" s="51" t="str">
        <f aca="false">IF($B29="","",IF(F29=0,0,ROUND(K29*E29/(F29*Тохиргоо!$C$11)*Тохиргоо!$C$10,0)))</f>
        <v/>
      </c>
      <c r="M29" s="36"/>
      <c r="N29" s="51" t="str">
        <f aca="false">IF($B29="","",IF(F29=0,0,ROUND(Ажилтнууд!$J29*G29/F29,0)))</f>
        <v/>
      </c>
      <c r="O29" s="52" t="str">
        <f aca="false">IF($B29="","",H29+I29+J29+L29+M29+N29)</f>
        <v/>
      </c>
      <c r="P29" s="51" t="str">
        <f aca="false">IF($B29="","",MIN(O29,Тохиргоо!$C$16))</f>
        <v/>
      </c>
      <c r="Q29" s="51" t="str">
        <f aca="false">IF($B29="","",ROUND(P29*Тохиргоо!$C$20,0))</f>
        <v/>
      </c>
      <c r="R29" s="51" t="str">
        <f aca="false">IF($B29="","",ROUND(P29*Тохиргоо!$C$21,0))</f>
        <v/>
      </c>
      <c r="S29" s="51" t="str">
        <f aca="false">IF($B29="","",O29-Q29-R29)</f>
        <v/>
      </c>
      <c r="T29" s="51" t="str">
        <f aca="false">IF($B29="","",IF(Ажилтнууд!$K29="Тийм",0,VLOOKUP(S29,'ХХОАТ хүснэгт'!$N$6:$P$10,3,TRUE())+(S29-VLOOKUP(S29,'ХХОАТ хүснэгт'!$N$6:$P$10,1,TRUE()))*VLOOKUP(S29,'ХХОАТ хүснэгт'!$N$6:$P$10,2,TRUE())))</f>
        <v/>
      </c>
      <c r="U29" s="51" t="str">
        <f aca="false">IF($B29="","",IF(OR(Ажилтнууд!$K29="Тийм",Тохиргоо!$C$32&lt;&gt;"2026"),0,MIN(T29,INDEX('ХХОАТ хүснэгт'!$C$17:$C$23,COUNTIF('ХХОАТ хүснэгт'!$B$17:$B$23,"&lt;"&amp;S29)+1))))</f>
        <v/>
      </c>
      <c r="V29" s="51" t="str">
        <f aca="false">IF($B29="","",ROUND(MAX(0,T29-U29),0))</f>
        <v/>
      </c>
      <c r="W29" s="42" t="str">
        <f aca="false">IF($B29="","",Урьдчилгаа!$H29)</f>
        <v/>
      </c>
      <c r="X29" s="36"/>
      <c r="Y29" s="51" t="str">
        <f aca="false">IF($B29="","",Q29+R29+V29+W29+X29)</f>
        <v/>
      </c>
      <c r="Z29" s="52" t="str">
        <f aca="false">IF($B29="","",O29-Y29)</f>
        <v/>
      </c>
      <c r="AA29" s="11"/>
    </row>
    <row r="30" customFormat="false" ht="15" hidden="false" customHeight="false" outlineLevel="0" collapsed="false">
      <c r="A30" s="7" t="str">
        <f aca="false">IF($B30="","",ROW()-4)</f>
        <v/>
      </c>
      <c r="B30" s="41" t="str">
        <f aca="false">IF(Ажилтнууд!$C30="","",LEFT(Ажилтнууд!$B30,1)&amp;"."&amp;Ажилтнууд!$C30)</f>
        <v/>
      </c>
      <c r="C30" s="41" t="str">
        <f aca="false">IF($B30="","",Ажилтнууд!$D30)</f>
        <v/>
      </c>
      <c r="D30" s="41" t="str">
        <f aca="false">IF($B30="","",Ажилтнууд!$F30)</f>
        <v/>
      </c>
      <c r="E30" s="42" t="str">
        <f aca="false">IF($B30="","",Ажилтнууд!$G30)</f>
        <v/>
      </c>
      <c r="F30" s="43" t="str">
        <f aca="false">IF($B30="","",Тохиргоо!$C$7)</f>
        <v/>
      </c>
      <c r="G30" s="44"/>
      <c r="H30" s="51" t="str">
        <f aca="false">IF($B30="","",IF(F30=0,0,ROUND(E30*G30/F30,0)))</f>
        <v/>
      </c>
      <c r="I30" s="51" t="str">
        <f aca="false">IF($B30="","",ROUND(H30*Ажилтнууд!$H30,0))</f>
        <v/>
      </c>
      <c r="J30" s="51" t="str">
        <f aca="false">IF($B30="","",ROUND(H30*Ажилтнууд!$I30,0))</f>
        <v/>
      </c>
      <c r="K30" s="44"/>
      <c r="L30" s="51" t="str">
        <f aca="false">IF($B30="","",IF(F30=0,0,ROUND(K30*E30/(F30*Тохиргоо!$C$11)*Тохиргоо!$C$10,0)))</f>
        <v/>
      </c>
      <c r="M30" s="36"/>
      <c r="N30" s="51" t="str">
        <f aca="false">IF($B30="","",IF(F30=0,0,ROUND(Ажилтнууд!$J30*G30/F30,0)))</f>
        <v/>
      </c>
      <c r="O30" s="52" t="str">
        <f aca="false">IF($B30="","",H30+I30+J30+L30+M30+N30)</f>
        <v/>
      </c>
      <c r="P30" s="51" t="str">
        <f aca="false">IF($B30="","",MIN(O30,Тохиргоо!$C$16))</f>
        <v/>
      </c>
      <c r="Q30" s="51" t="str">
        <f aca="false">IF($B30="","",ROUND(P30*Тохиргоо!$C$20,0))</f>
        <v/>
      </c>
      <c r="R30" s="51" t="str">
        <f aca="false">IF($B30="","",ROUND(P30*Тохиргоо!$C$21,0))</f>
        <v/>
      </c>
      <c r="S30" s="51" t="str">
        <f aca="false">IF($B30="","",O30-Q30-R30)</f>
        <v/>
      </c>
      <c r="T30" s="51" t="str">
        <f aca="false">IF($B30="","",IF(Ажилтнууд!$K30="Тийм",0,VLOOKUP(S30,'ХХОАТ хүснэгт'!$N$6:$P$10,3,TRUE())+(S30-VLOOKUP(S30,'ХХОАТ хүснэгт'!$N$6:$P$10,1,TRUE()))*VLOOKUP(S30,'ХХОАТ хүснэгт'!$N$6:$P$10,2,TRUE())))</f>
        <v/>
      </c>
      <c r="U30" s="51" t="str">
        <f aca="false">IF($B30="","",IF(OR(Ажилтнууд!$K30="Тийм",Тохиргоо!$C$32&lt;&gt;"2026"),0,MIN(T30,INDEX('ХХОАТ хүснэгт'!$C$17:$C$23,COUNTIF('ХХОАТ хүснэгт'!$B$17:$B$23,"&lt;"&amp;S30)+1))))</f>
        <v/>
      </c>
      <c r="V30" s="51" t="str">
        <f aca="false">IF($B30="","",ROUND(MAX(0,T30-U30),0))</f>
        <v/>
      </c>
      <c r="W30" s="42" t="str">
        <f aca="false">IF($B30="","",Урьдчилгаа!$H30)</f>
        <v/>
      </c>
      <c r="X30" s="36"/>
      <c r="Y30" s="51" t="str">
        <f aca="false">IF($B30="","",Q30+R30+V30+W30+X30)</f>
        <v/>
      </c>
      <c r="Z30" s="52" t="str">
        <f aca="false">IF($B30="","",O30-Y30)</f>
        <v/>
      </c>
      <c r="AA30" s="11"/>
    </row>
    <row r="31" customFormat="false" ht="15" hidden="false" customHeight="false" outlineLevel="0" collapsed="false">
      <c r="A31" s="7" t="str">
        <f aca="false">IF($B31="","",ROW()-4)</f>
        <v/>
      </c>
      <c r="B31" s="41" t="str">
        <f aca="false">IF(Ажилтнууд!$C31="","",LEFT(Ажилтнууд!$B31,1)&amp;"."&amp;Ажилтнууд!$C31)</f>
        <v/>
      </c>
      <c r="C31" s="41" t="str">
        <f aca="false">IF($B31="","",Ажилтнууд!$D31)</f>
        <v/>
      </c>
      <c r="D31" s="41" t="str">
        <f aca="false">IF($B31="","",Ажилтнууд!$F31)</f>
        <v/>
      </c>
      <c r="E31" s="42" t="str">
        <f aca="false">IF($B31="","",Ажилтнууд!$G31)</f>
        <v/>
      </c>
      <c r="F31" s="43" t="str">
        <f aca="false">IF($B31="","",Тохиргоо!$C$7)</f>
        <v/>
      </c>
      <c r="G31" s="44"/>
      <c r="H31" s="51" t="str">
        <f aca="false">IF($B31="","",IF(F31=0,0,ROUND(E31*G31/F31,0)))</f>
        <v/>
      </c>
      <c r="I31" s="51" t="str">
        <f aca="false">IF($B31="","",ROUND(H31*Ажилтнууд!$H31,0))</f>
        <v/>
      </c>
      <c r="J31" s="51" t="str">
        <f aca="false">IF($B31="","",ROUND(H31*Ажилтнууд!$I31,0))</f>
        <v/>
      </c>
      <c r="K31" s="44"/>
      <c r="L31" s="51" t="str">
        <f aca="false">IF($B31="","",IF(F31=0,0,ROUND(K31*E31/(F31*Тохиргоо!$C$11)*Тохиргоо!$C$10,0)))</f>
        <v/>
      </c>
      <c r="M31" s="36"/>
      <c r="N31" s="51" t="str">
        <f aca="false">IF($B31="","",IF(F31=0,0,ROUND(Ажилтнууд!$J31*G31/F31,0)))</f>
        <v/>
      </c>
      <c r="O31" s="52" t="str">
        <f aca="false">IF($B31="","",H31+I31+J31+L31+M31+N31)</f>
        <v/>
      </c>
      <c r="P31" s="51" t="str">
        <f aca="false">IF($B31="","",MIN(O31,Тохиргоо!$C$16))</f>
        <v/>
      </c>
      <c r="Q31" s="51" t="str">
        <f aca="false">IF($B31="","",ROUND(P31*Тохиргоо!$C$20,0))</f>
        <v/>
      </c>
      <c r="R31" s="51" t="str">
        <f aca="false">IF($B31="","",ROUND(P31*Тохиргоо!$C$21,0))</f>
        <v/>
      </c>
      <c r="S31" s="51" t="str">
        <f aca="false">IF($B31="","",O31-Q31-R31)</f>
        <v/>
      </c>
      <c r="T31" s="51" t="str">
        <f aca="false">IF($B31="","",IF(Ажилтнууд!$K31="Тийм",0,VLOOKUP(S31,'ХХОАТ хүснэгт'!$N$6:$P$10,3,TRUE())+(S31-VLOOKUP(S31,'ХХОАТ хүснэгт'!$N$6:$P$10,1,TRUE()))*VLOOKUP(S31,'ХХОАТ хүснэгт'!$N$6:$P$10,2,TRUE())))</f>
        <v/>
      </c>
      <c r="U31" s="51" t="str">
        <f aca="false">IF($B31="","",IF(OR(Ажилтнууд!$K31="Тийм",Тохиргоо!$C$32&lt;&gt;"2026"),0,MIN(T31,INDEX('ХХОАТ хүснэгт'!$C$17:$C$23,COUNTIF('ХХОАТ хүснэгт'!$B$17:$B$23,"&lt;"&amp;S31)+1))))</f>
        <v/>
      </c>
      <c r="V31" s="51" t="str">
        <f aca="false">IF($B31="","",ROUND(MAX(0,T31-U31),0))</f>
        <v/>
      </c>
      <c r="W31" s="42" t="str">
        <f aca="false">IF($B31="","",Урьдчилгаа!$H31)</f>
        <v/>
      </c>
      <c r="X31" s="36"/>
      <c r="Y31" s="51" t="str">
        <f aca="false">IF($B31="","",Q31+R31+V31+W31+X31)</f>
        <v/>
      </c>
      <c r="Z31" s="52" t="str">
        <f aca="false">IF($B31="","",O31-Y31)</f>
        <v/>
      </c>
      <c r="AA31" s="11"/>
    </row>
    <row r="32" customFormat="false" ht="15" hidden="false" customHeight="false" outlineLevel="0" collapsed="false">
      <c r="A32" s="7" t="str">
        <f aca="false">IF($B32="","",ROW()-4)</f>
        <v/>
      </c>
      <c r="B32" s="41" t="str">
        <f aca="false">IF(Ажилтнууд!$C32="","",LEFT(Ажилтнууд!$B32,1)&amp;"."&amp;Ажилтнууд!$C32)</f>
        <v/>
      </c>
      <c r="C32" s="41" t="str">
        <f aca="false">IF($B32="","",Ажилтнууд!$D32)</f>
        <v/>
      </c>
      <c r="D32" s="41" t="str">
        <f aca="false">IF($B32="","",Ажилтнууд!$F32)</f>
        <v/>
      </c>
      <c r="E32" s="42" t="str">
        <f aca="false">IF($B32="","",Ажилтнууд!$G32)</f>
        <v/>
      </c>
      <c r="F32" s="43" t="str">
        <f aca="false">IF($B32="","",Тохиргоо!$C$7)</f>
        <v/>
      </c>
      <c r="G32" s="44"/>
      <c r="H32" s="51" t="str">
        <f aca="false">IF($B32="","",IF(F32=0,0,ROUND(E32*G32/F32,0)))</f>
        <v/>
      </c>
      <c r="I32" s="51" t="str">
        <f aca="false">IF($B32="","",ROUND(H32*Ажилтнууд!$H32,0))</f>
        <v/>
      </c>
      <c r="J32" s="51" t="str">
        <f aca="false">IF($B32="","",ROUND(H32*Ажилтнууд!$I32,0))</f>
        <v/>
      </c>
      <c r="K32" s="44"/>
      <c r="L32" s="51" t="str">
        <f aca="false">IF($B32="","",IF(F32=0,0,ROUND(K32*E32/(F32*Тохиргоо!$C$11)*Тохиргоо!$C$10,0)))</f>
        <v/>
      </c>
      <c r="M32" s="36"/>
      <c r="N32" s="51" t="str">
        <f aca="false">IF($B32="","",IF(F32=0,0,ROUND(Ажилтнууд!$J32*G32/F32,0)))</f>
        <v/>
      </c>
      <c r="O32" s="52" t="str">
        <f aca="false">IF($B32="","",H32+I32+J32+L32+M32+N32)</f>
        <v/>
      </c>
      <c r="P32" s="51" t="str">
        <f aca="false">IF($B32="","",MIN(O32,Тохиргоо!$C$16))</f>
        <v/>
      </c>
      <c r="Q32" s="51" t="str">
        <f aca="false">IF($B32="","",ROUND(P32*Тохиргоо!$C$20,0))</f>
        <v/>
      </c>
      <c r="R32" s="51" t="str">
        <f aca="false">IF($B32="","",ROUND(P32*Тохиргоо!$C$21,0))</f>
        <v/>
      </c>
      <c r="S32" s="51" t="str">
        <f aca="false">IF($B32="","",O32-Q32-R32)</f>
        <v/>
      </c>
      <c r="T32" s="51" t="str">
        <f aca="false">IF($B32="","",IF(Ажилтнууд!$K32="Тийм",0,VLOOKUP(S32,'ХХОАТ хүснэгт'!$N$6:$P$10,3,TRUE())+(S32-VLOOKUP(S32,'ХХОАТ хүснэгт'!$N$6:$P$10,1,TRUE()))*VLOOKUP(S32,'ХХОАТ хүснэгт'!$N$6:$P$10,2,TRUE())))</f>
        <v/>
      </c>
      <c r="U32" s="51" t="str">
        <f aca="false">IF($B32="","",IF(OR(Ажилтнууд!$K32="Тийм",Тохиргоо!$C$32&lt;&gt;"2026"),0,MIN(T32,INDEX('ХХОАТ хүснэгт'!$C$17:$C$23,COUNTIF('ХХОАТ хүснэгт'!$B$17:$B$23,"&lt;"&amp;S32)+1))))</f>
        <v/>
      </c>
      <c r="V32" s="51" t="str">
        <f aca="false">IF($B32="","",ROUND(MAX(0,T32-U32),0))</f>
        <v/>
      </c>
      <c r="W32" s="42" t="str">
        <f aca="false">IF($B32="","",Урьдчилгаа!$H32)</f>
        <v/>
      </c>
      <c r="X32" s="36"/>
      <c r="Y32" s="51" t="str">
        <f aca="false">IF($B32="","",Q32+R32+V32+W32+X32)</f>
        <v/>
      </c>
      <c r="Z32" s="52" t="str">
        <f aca="false">IF($B32="","",O32-Y32)</f>
        <v/>
      </c>
      <c r="AA32" s="11"/>
    </row>
    <row r="33" customFormat="false" ht="15" hidden="false" customHeight="false" outlineLevel="0" collapsed="false">
      <c r="A33" s="7" t="str">
        <f aca="false">IF($B33="","",ROW()-4)</f>
        <v/>
      </c>
      <c r="B33" s="41" t="str">
        <f aca="false">IF(Ажилтнууд!$C33="","",LEFT(Ажилтнууд!$B33,1)&amp;"."&amp;Ажилтнууд!$C33)</f>
        <v/>
      </c>
      <c r="C33" s="41" t="str">
        <f aca="false">IF($B33="","",Ажилтнууд!$D33)</f>
        <v/>
      </c>
      <c r="D33" s="41" t="str">
        <f aca="false">IF($B33="","",Ажилтнууд!$F33)</f>
        <v/>
      </c>
      <c r="E33" s="42" t="str">
        <f aca="false">IF($B33="","",Ажилтнууд!$G33)</f>
        <v/>
      </c>
      <c r="F33" s="43" t="str">
        <f aca="false">IF($B33="","",Тохиргоо!$C$7)</f>
        <v/>
      </c>
      <c r="G33" s="44"/>
      <c r="H33" s="51" t="str">
        <f aca="false">IF($B33="","",IF(F33=0,0,ROUND(E33*G33/F33,0)))</f>
        <v/>
      </c>
      <c r="I33" s="51" t="str">
        <f aca="false">IF($B33="","",ROUND(H33*Ажилтнууд!$H33,0))</f>
        <v/>
      </c>
      <c r="J33" s="51" t="str">
        <f aca="false">IF($B33="","",ROUND(H33*Ажилтнууд!$I33,0))</f>
        <v/>
      </c>
      <c r="K33" s="44"/>
      <c r="L33" s="51" t="str">
        <f aca="false">IF($B33="","",IF(F33=0,0,ROUND(K33*E33/(F33*Тохиргоо!$C$11)*Тохиргоо!$C$10,0)))</f>
        <v/>
      </c>
      <c r="M33" s="36"/>
      <c r="N33" s="51" t="str">
        <f aca="false">IF($B33="","",IF(F33=0,0,ROUND(Ажилтнууд!$J33*G33/F33,0)))</f>
        <v/>
      </c>
      <c r="O33" s="52" t="str">
        <f aca="false">IF($B33="","",H33+I33+J33+L33+M33+N33)</f>
        <v/>
      </c>
      <c r="P33" s="51" t="str">
        <f aca="false">IF($B33="","",MIN(O33,Тохиргоо!$C$16))</f>
        <v/>
      </c>
      <c r="Q33" s="51" t="str">
        <f aca="false">IF($B33="","",ROUND(P33*Тохиргоо!$C$20,0))</f>
        <v/>
      </c>
      <c r="R33" s="51" t="str">
        <f aca="false">IF($B33="","",ROUND(P33*Тохиргоо!$C$21,0))</f>
        <v/>
      </c>
      <c r="S33" s="51" t="str">
        <f aca="false">IF($B33="","",O33-Q33-R33)</f>
        <v/>
      </c>
      <c r="T33" s="51" t="str">
        <f aca="false">IF($B33="","",IF(Ажилтнууд!$K33="Тийм",0,VLOOKUP(S33,'ХХОАТ хүснэгт'!$N$6:$P$10,3,TRUE())+(S33-VLOOKUP(S33,'ХХОАТ хүснэгт'!$N$6:$P$10,1,TRUE()))*VLOOKUP(S33,'ХХОАТ хүснэгт'!$N$6:$P$10,2,TRUE())))</f>
        <v/>
      </c>
      <c r="U33" s="51" t="str">
        <f aca="false">IF($B33="","",IF(OR(Ажилтнууд!$K33="Тийм",Тохиргоо!$C$32&lt;&gt;"2026"),0,MIN(T33,INDEX('ХХОАТ хүснэгт'!$C$17:$C$23,COUNTIF('ХХОАТ хүснэгт'!$B$17:$B$23,"&lt;"&amp;S33)+1))))</f>
        <v/>
      </c>
      <c r="V33" s="51" t="str">
        <f aca="false">IF($B33="","",ROUND(MAX(0,T33-U33),0))</f>
        <v/>
      </c>
      <c r="W33" s="42" t="str">
        <f aca="false">IF($B33="","",Урьдчилгаа!$H33)</f>
        <v/>
      </c>
      <c r="X33" s="36"/>
      <c r="Y33" s="51" t="str">
        <f aca="false">IF($B33="","",Q33+R33+V33+W33+X33)</f>
        <v/>
      </c>
      <c r="Z33" s="52" t="str">
        <f aca="false">IF($B33="","",O33-Y33)</f>
        <v/>
      </c>
      <c r="AA33" s="11"/>
    </row>
    <row r="34" customFormat="false" ht="15" hidden="false" customHeight="false" outlineLevel="0" collapsed="false">
      <c r="A34" s="7" t="str">
        <f aca="false">IF($B34="","",ROW()-4)</f>
        <v/>
      </c>
      <c r="B34" s="41" t="str">
        <f aca="false">IF(Ажилтнууд!$C34="","",LEFT(Ажилтнууд!$B34,1)&amp;"."&amp;Ажилтнууд!$C34)</f>
        <v/>
      </c>
      <c r="C34" s="41" t="str">
        <f aca="false">IF($B34="","",Ажилтнууд!$D34)</f>
        <v/>
      </c>
      <c r="D34" s="41" t="str">
        <f aca="false">IF($B34="","",Ажилтнууд!$F34)</f>
        <v/>
      </c>
      <c r="E34" s="42" t="str">
        <f aca="false">IF($B34="","",Ажилтнууд!$G34)</f>
        <v/>
      </c>
      <c r="F34" s="43" t="str">
        <f aca="false">IF($B34="","",Тохиргоо!$C$7)</f>
        <v/>
      </c>
      <c r="G34" s="44"/>
      <c r="H34" s="51" t="str">
        <f aca="false">IF($B34="","",IF(F34=0,0,ROUND(E34*G34/F34,0)))</f>
        <v/>
      </c>
      <c r="I34" s="51" t="str">
        <f aca="false">IF($B34="","",ROUND(H34*Ажилтнууд!$H34,0))</f>
        <v/>
      </c>
      <c r="J34" s="51" t="str">
        <f aca="false">IF($B34="","",ROUND(H34*Ажилтнууд!$I34,0))</f>
        <v/>
      </c>
      <c r="K34" s="44"/>
      <c r="L34" s="51" t="str">
        <f aca="false">IF($B34="","",IF(F34=0,0,ROUND(K34*E34/(F34*Тохиргоо!$C$11)*Тохиргоо!$C$10,0)))</f>
        <v/>
      </c>
      <c r="M34" s="36"/>
      <c r="N34" s="51" t="str">
        <f aca="false">IF($B34="","",IF(F34=0,0,ROUND(Ажилтнууд!$J34*G34/F34,0)))</f>
        <v/>
      </c>
      <c r="O34" s="52" t="str">
        <f aca="false">IF($B34="","",H34+I34+J34+L34+M34+N34)</f>
        <v/>
      </c>
      <c r="P34" s="51" t="str">
        <f aca="false">IF($B34="","",MIN(O34,Тохиргоо!$C$16))</f>
        <v/>
      </c>
      <c r="Q34" s="51" t="str">
        <f aca="false">IF($B34="","",ROUND(P34*Тохиргоо!$C$20,0))</f>
        <v/>
      </c>
      <c r="R34" s="51" t="str">
        <f aca="false">IF($B34="","",ROUND(P34*Тохиргоо!$C$21,0))</f>
        <v/>
      </c>
      <c r="S34" s="51" t="str">
        <f aca="false">IF($B34="","",O34-Q34-R34)</f>
        <v/>
      </c>
      <c r="T34" s="51" t="str">
        <f aca="false">IF($B34="","",IF(Ажилтнууд!$K34="Тийм",0,VLOOKUP(S34,'ХХОАТ хүснэгт'!$N$6:$P$10,3,TRUE())+(S34-VLOOKUP(S34,'ХХОАТ хүснэгт'!$N$6:$P$10,1,TRUE()))*VLOOKUP(S34,'ХХОАТ хүснэгт'!$N$6:$P$10,2,TRUE())))</f>
        <v/>
      </c>
      <c r="U34" s="51" t="str">
        <f aca="false">IF($B34="","",IF(OR(Ажилтнууд!$K34="Тийм",Тохиргоо!$C$32&lt;&gt;"2026"),0,MIN(T34,INDEX('ХХОАТ хүснэгт'!$C$17:$C$23,COUNTIF('ХХОАТ хүснэгт'!$B$17:$B$23,"&lt;"&amp;S34)+1))))</f>
        <v/>
      </c>
      <c r="V34" s="51" t="str">
        <f aca="false">IF($B34="","",ROUND(MAX(0,T34-U34),0))</f>
        <v/>
      </c>
      <c r="W34" s="42" t="str">
        <f aca="false">IF($B34="","",Урьдчилгаа!$H34)</f>
        <v/>
      </c>
      <c r="X34" s="36"/>
      <c r="Y34" s="51" t="str">
        <f aca="false">IF($B34="","",Q34+R34+V34+W34+X34)</f>
        <v/>
      </c>
      <c r="Z34" s="52" t="str">
        <f aca="false">IF($B34="","",O34-Y34)</f>
        <v/>
      </c>
      <c r="AA34" s="11"/>
    </row>
    <row r="35" customFormat="false" ht="15" hidden="false" customHeight="false" outlineLevel="0" collapsed="false">
      <c r="A35" s="47"/>
      <c r="B35" s="47" t="s">
        <v>203</v>
      </c>
      <c r="C35" s="47"/>
      <c r="D35" s="47"/>
      <c r="E35" s="47" t="n">
        <f aca="false">SUM(E5:E34)</f>
        <v>21200000</v>
      </c>
      <c r="F35" s="47"/>
      <c r="G35" s="47"/>
      <c r="H35" s="47" t="n">
        <f aca="false">SUM(H5:H34)</f>
        <v>20863637</v>
      </c>
      <c r="I35" s="47" t="n">
        <f aca="false">SUM(I5:I34)</f>
        <v>1376364</v>
      </c>
      <c r="J35" s="47" t="n">
        <f aca="false">SUM(J5:J34)</f>
        <v>810818</v>
      </c>
      <c r="K35" s="47" t="n">
        <f aca="false">SUM(K5:K34)</f>
        <v>14</v>
      </c>
      <c r="L35" s="47" t="n">
        <f aca="false">SUM(L5:L34)</f>
        <v>173863</v>
      </c>
      <c r="M35" s="47" t="n">
        <f aca="false">SUM(M5:M34)</f>
        <v>300000</v>
      </c>
      <c r="N35" s="47" t="n">
        <f aca="false">SUM(N5:N34)</f>
        <v>807273</v>
      </c>
      <c r="O35" s="47" t="n">
        <f aca="false">SUM(O5:O34)</f>
        <v>24331955</v>
      </c>
      <c r="P35" s="47" t="n">
        <f aca="false">SUM(P5:P34)</f>
        <v>22476955</v>
      </c>
      <c r="Q35" s="47" t="n">
        <f aca="false">SUM(Q5:Q34)</f>
        <v>2135311</v>
      </c>
      <c r="R35" s="47" t="n">
        <f aca="false">SUM(R5:R34)</f>
        <v>449539</v>
      </c>
      <c r="S35" s="47" t="n">
        <f aca="false">SUM(S5:S34)</f>
        <v>21747105</v>
      </c>
      <c r="T35" s="47" t="n">
        <f aca="false">SUM(T5:T34)</f>
        <v>2049040.5</v>
      </c>
      <c r="U35" s="47" t="n">
        <f aca="false">SUM(U5:U34)</f>
        <v>70000</v>
      </c>
      <c r="V35" s="47" t="n">
        <f aca="false">SUM(V5:V34)</f>
        <v>1979040</v>
      </c>
      <c r="W35" s="47" t="n">
        <f aca="false">SUM(W5:W34)</f>
        <v>8276300</v>
      </c>
      <c r="X35" s="47" t="n">
        <f aca="false">SUM(X5:X34)</f>
        <v>50000</v>
      </c>
      <c r="Y35" s="47" t="n">
        <f aca="false">SUM(Y5:Y34)</f>
        <v>12890190</v>
      </c>
      <c r="Z35" s="47" t="n">
        <f aca="false">SUM(Z5:Z34)</f>
        <v>11441765</v>
      </c>
      <c r="AA35" s="47"/>
    </row>
    <row r="37" customFormat="false" ht="15" hidden="false" customHeight="false" outlineLevel="0" collapsed="false">
      <c r="B37" s="39" t="s">
        <v>232</v>
      </c>
    </row>
    <row r="38" customFormat="false" ht="15" hidden="false" customHeight="false" outlineLevel="0" collapsed="false">
      <c r="B38" s="39" t="s">
        <v>233</v>
      </c>
    </row>
    <row r="39" customFormat="false" ht="15" hidden="false" customHeight="false" outlineLevel="0" collapsed="false">
      <c r="B39" s="39" t="s">
        <v>234</v>
      </c>
    </row>
    <row r="41" customFormat="false" ht="15" hidden="false" customHeight="false" outlineLevel="0" collapsed="false">
      <c r="B41" s="48" t="s">
        <v>235</v>
      </c>
    </row>
  </sheetData>
  <mergeCells count="3">
    <mergeCell ref="H3:O3"/>
    <mergeCell ref="P3:V3"/>
    <mergeCell ref="W3:Z3"/>
  </mergeCells>
  <conditionalFormatting sqref="Z5:Z34">
    <cfRule type="cellIs" priority="2" operator="lessThan" aboveAverage="0" equalAverage="0" bottom="0" percent="0" rank="0" text="" dxfId="0">
      <formula>0</formula>
    </cfRule>
  </conditionalFormatting>
  <dataValidations count="2">
    <dataValidation allowBlank="false" error="0–31 хооронд өдөр оруулна" errorStyle="stop" operator="between" showDropDown="false" showErrorMessage="true" showInputMessage="false" sqref="G5:G34" type="decimal">
      <formula1>0</formula1>
      <formula2>31</formula2>
    </dataValidation>
    <dataValidation allowBlank="false" errorStyle="stop" operator="greaterThanOrEqual" showDropDown="false" showErrorMessage="true" showInputMessage="false" sqref="K5:K34 M5:M34 X5:X34" type="decimal">
      <formula1>0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4" min="3" style="0" width="15"/>
    <col collapsed="false" customWidth="true" hidden="false" outlineLevel="0" max="8" min="5" style="0" width="13"/>
    <col collapsed="false" customWidth="true" hidden="false" outlineLevel="0" max="9" min="9" style="0" width="14"/>
    <col collapsed="false" customWidth="true" hidden="false" outlineLevel="0" max="10" min="10" style="0" width="13"/>
    <col collapsed="false" customWidth="true" hidden="false" outlineLevel="0" max="11" min="11" style="0" width="14"/>
    <col collapsed="false" customWidth="true" hidden="false" outlineLevel="0" max="12" min="12" style="0" width="17"/>
  </cols>
  <sheetData>
    <row r="1" customFormat="false" ht="17.35" hidden="false" customHeight="false" outlineLevel="0" collapsed="false">
      <c r="A1" s="9" t="s">
        <v>236</v>
      </c>
    </row>
    <row r="2" customFormat="false" ht="15" hidden="false" customHeight="false" outlineLevel="0" collapsed="false">
      <c r="A2" s="40" t="str">
        <f aca="false">Тохиргоо!$C$4&amp;"  |  "&amp;Тохиргоо!$C$5&amp;" оны "&amp;Тохиргоо!$C$6&amp;"-р сар"</f>
        <v>Жишээ ХХК  |  2026 оны 10-р сар</v>
      </c>
    </row>
    <row r="4" customFormat="false" ht="57.75" hidden="false" customHeight="true" outlineLevel="0" collapsed="false">
      <c r="A4" s="22" t="s">
        <v>143</v>
      </c>
      <c r="B4" s="22" t="s">
        <v>197</v>
      </c>
      <c r="C4" s="22" t="s">
        <v>237</v>
      </c>
      <c r="D4" s="22" t="s">
        <v>221</v>
      </c>
      <c r="E4" s="22" t="s">
        <v>238</v>
      </c>
      <c r="F4" s="22" t="s">
        <v>239</v>
      </c>
      <c r="G4" s="22" t="s">
        <v>240</v>
      </c>
      <c r="H4" s="22" t="s">
        <v>241</v>
      </c>
      <c r="I4" s="22" t="s">
        <v>242</v>
      </c>
      <c r="J4" s="22" t="s">
        <v>243</v>
      </c>
      <c r="K4" s="22" t="s">
        <v>244</v>
      </c>
      <c r="L4" s="22" t="s">
        <v>245</v>
      </c>
    </row>
    <row r="5" customFormat="false" ht="15" hidden="false" customHeight="false" outlineLevel="0" collapsed="false">
      <c r="A5" s="7" t="n">
        <f aca="false">IF($B5="","",ROW()-4)</f>
        <v>1</v>
      </c>
      <c r="B5" s="41" t="str">
        <f aca="false">IF('Сарын сүүл'!$B5="","",'Сарын сүүл'!$B5)</f>
        <v>Д.Болд</v>
      </c>
      <c r="C5" s="42" t="n">
        <f aca="false">IF($B5="","",'Сарын сүүл'!$O5)</f>
        <v>9775000</v>
      </c>
      <c r="D5" s="51" t="n">
        <f aca="false">IF($B5="","",IF(Тохиргоо!$C$28=0,C5,MIN(C5,Тохиргоо!$C$14*Тохиргоо!$C$28)))</f>
        <v>9775000</v>
      </c>
      <c r="E5" s="51" t="n">
        <f aca="false">IF($B5="","",ROUND(D5*Тохиргоо!$C$22,0))</f>
        <v>830875</v>
      </c>
      <c r="F5" s="51" t="n">
        <f aca="false">IF($B5="","",ROUND(D5*Тохиргоо!$C$23,0))</f>
        <v>97750</v>
      </c>
      <c r="G5" s="51" t="n">
        <f aca="false">IF($B5="","",ROUND(D5*Тохиргоо!$C$24,0))</f>
        <v>29325</v>
      </c>
      <c r="H5" s="51" t="n">
        <f aca="false">IF($B5="","",ROUND(D5*Тохиргоо!$C$25,0))</f>
        <v>58650</v>
      </c>
      <c r="I5" s="51" t="n">
        <f aca="false">IF($B5="","",SUM(E5:H5))</f>
        <v>1016600</v>
      </c>
      <c r="J5" s="51" t="n">
        <f aca="false">IF($B5="","",ROUND(D5*Тохиргоо!$C$27,0))</f>
        <v>195500</v>
      </c>
      <c r="K5" s="51" t="n">
        <f aca="false">IF($B5="","",I5+J5)</f>
        <v>1212100</v>
      </c>
      <c r="L5" s="46" t="n">
        <f aca="false">IF($B5="","",C5+K5)</f>
        <v>10987100</v>
      </c>
    </row>
    <row r="6" customFormat="false" ht="15" hidden="false" customHeight="false" outlineLevel="0" collapsed="false">
      <c r="A6" s="7" t="n">
        <f aca="false">IF($B6="","",ROW()-4)</f>
        <v>2</v>
      </c>
      <c r="B6" s="41" t="str">
        <f aca="false">IF('Сарын сүүл'!$B6="","",'Сарын сүүл'!$B6)</f>
        <v>С.Сарангэрэл</v>
      </c>
      <c r="C6" s="42" t="n">
        <f aca="false">IF($B6="","",'Сарын сүүл'!$O6)</f>
        <v>3800000</v>
      </c>
      <c r="D6" s="51" t="n">
        <f aca="false">IF($B6="","",IF(Тохиргоо!$C$28=0,C6,MIN(C6,Тохиргоо!$C$14*Тохиргоо!$C$28)))</f>
        <v>3800000</v>
      </c>
      <c r="E6" s="51" t="n">
        <f aca="false">IF($B6="","",ROUND(D6*Тохиргоо!$C$22,0))</f>
        <v>323000</v>
      </c>
      <c r="F6" s="51" t="n">
        <f aca="false">IF($B6="","",ROUND(D6*Тохиргоо!$C$23,0))</f>
        <v>38000</v>
      </c>
      <c r="G6" s="51" t="n">
        <f aca="false">IF($B6="","",ROUND(D6*Тохиргоо!$C$24,0))</f>
        <v>11400</v>
      </c>
      <c r="H6" s="51" t="n">
        <f aca="false">IF($B6="","",ROUND(D6*Тохиргоо!$C$25,0))</f>
        <v>22800</v>
      </c>
      <c r="I6" s="51" t="n">
        <f aca="false">IF($B6="","",SUM(E6:H6))</f>
        <v>395200</v>
      </c>
      <c r="J6" s="51" t="n">
        <f aca="false">IF($B6="","",ROUND(D6*Тохиргоо!$C$27,0))</f>
        <v>76000</v>
      </c>
      <c r="K6" s="51" t="n">
        <f aca="false">IF($B6="","",I6+J6)</f>
        <v>471200</v>
      </c>
      <c r="L6" s="46" t="n">
        <f aca="false">IF($B6="","",C6+K6)</f>
        <v>4271200</v>
      </c>
    </row>
    <row r="7" customFormat="false" ht="15" hidden="false" customHeight="false" outlineLevel="0" collapsed="false">
      <c r="A7" s="7" t="n">
        <f aca="false">IF($B7="","",ROW()-4)</f>
        <v>3</v>
      </c>
      <c r="B7" s="41" t="str">
        <f aca="false">IF('Сарын сүүл'!$B7="","",'Сарын сүүл'!$B7)</f>
        <v>Б.Энхжин</v>
      </c>
      <c r="C7" s="42" t="n">
        <f aca="false">IF($B7="","",'Сарын сүүл'!$O7)</f>
        <v>3012000</v>
      </c>
      <c r="D7" s="51" t="n">
        <f aca="false">IF($B7="","",IF(Тохиргоо!$C$28=0,C7,MIN(C7,Тохиргоо!$C$14*Тохиргоо!$C$28)))</f>
        <v>3012000</v>
      </c>
      <c r="E7" s="51" t="n">
        <f aca="false">IF($B7="","",ROUND(D7*Тохиргоо!$C$22,0))</f>
        <v>256020</v>
      </c>
      <c r="F7" s="51" t="n">
        <f aca="false">IF($B7="","",ROUND(D7*Тохиргоо!$C$23,0))</f>
        <v>30120</v>
      </c>
      <c r="G7" s="51" t="n">
        <f aca="false">IF($B7="","",ROUND(D7*Тохиргоо!$C$24,0))</f>
        <v>9036</v>
      </c>
      <c r="H7" s="51" t="n">
        <f aca="false">IF($B7="","",ROUND(D7*Тохиргоо!$C$25,0))</f>
        <v>18072</v>
      </c>
      <c r="I7" s="51" t="n">
        <f aca="false">IF($B7="","",SUM(E7:H7))</f>
        <v>313248</v>
      </c>
      <c r="J7" s="51" t="n">
        <f aca="false">IF($B7="","",ROUND(D7*Тохиргоо!$C$27,0))</f>
        <v>60240</v>
      </c>
      <c r="K7" s="51" t="n">
        <f aca="false">IF($B7="","",I7+J7)</f>
        <v>373488</v>
      </c>
      <c r="L7" s="46" t="n">
        <f aca="false">IF($B7="","",C7+K7)</f>
        <v>3385488</v>
      </c>
    </row>
    <row r="8" customFormat="false" ht="15" hidden="false" customHeight="false" outlineLevel="0" collapsed="false">
      <c r="A8" s="7" t="n">
        <f aca="false">IF($B8="","",ROW()-4)</f>
        <v>4</v>
      </c>
      <c r="B8" s="41" t="str">
        <f aca="false">IF('Сарын сүүл'!$B8="","",'Сарын сүүл'!$B8)</f>
        <v>О.Мөнхзул</v>
      </c>
      <c r="C8" s="42" t="n">
        <f aca="false">IF($B8="","",'Сарын сүүл'!$O8)</f>
        <v>1974546</v>
      </c>
      <c r="D8" s="51" t="n">
        <f aca="false">IF($B8="","",IF(Тохиргоо!$C$28=0,C8,MIN(C8,Тохиргоо!$C$14*Тохиргоо!$C$28)))</f>
        <v>1974546</v>
      </c>
      <c r="E8" s="51" t="n">
        <f aca="false">IF($B8="","",ROUND(D8*Тохиргоо!$C$22,0))</f>
        <v>167836</v>
      </c>
      <c r="F8" s="51" t="n">
        <f aca="false">IF($B8="","",ROUND(D8*Тохиргоо!$C$23,0))</f>
        <v>19745</v>
      </c>
      <c r="G8" s="51" t="n">
        <f aca="false">IF($B8="","",ROUND(D8*Тохиргоо!$C$24,0))</f>
        <v>5924</v>
      </c>
      <c r="H8" s="51" t="n">
        <f aca="false">IF($B8="","",ROUND(D8*Тохиргоо!$C$25,0))</f>
        <v>11847</v>
      </c>
      <c r="I8" s="51" t="n">
        <f aca="false">IF($B8="","",SUM(E8:H8))</f>
        <v>205352</v>
      </c>
      <c r="J8" s="51" t="n">
        <f aca="false">IF($B8="","",ROUND(D8*Тохиргоо!$C$27,0))</f>
        <v>39491</v>
      </c>
      <c r="K8" s="51" t="n">
        <f aca="false">IF($B8="","",I8+J8)</f>
        <v>244843</v>
      </c>
      <c r="L8" s="46" t="n">
        <f aca="false">IF($B8="","",C8+K8)</f>
        <v>2219389</v>
      </c>
    </row>
    <row r="9" customFormat="false" ht="15" hidden="false" customHeight="false" outlineLevel="0" collapsed="false">
      <c r="A9" s="7" t="n">
        <f aca="false">IF($B9="","",ROW()-4)</f>
        <v>5</v>
      </c>
      <c r="B9" s="41" t="str">
        <f aca="false">IF('Сарын сүүл'!$B9="","",'Сарын сүүл'!$B9)</f>
        <v>П.Тэмүүлэн</v>
      </c>
      <c r="C9" s="42" t="n">
        <f aca="false">IF($B9="","",'Сарын сүүл'!$O9)</f>
        <v>1806545</v>
      </c>
      <c r="D9" s="51" t="n">
        <f aca="false">IF($B9="","",IF(Тохиргоо!$C$28=0,C9,MIN(C9,Тохиргоо!$C$14*Тохиргоо!$C$28)))</f>
        <v>1806545</v>
      </c>
      <c r="E9" s="51" t="n">
        <f aca="false">IF($B9="","",ROUND(D9*Тохиргоо!$C$22,0))</f>
        <v>153556</v>
      </c>
      <c r="F9" s="51" t="n">
        <f aca="false">IF($B9="","",ROUND(D9*Тохиргоо!$C$23,0))</f>
        <v>18065</v>
      </c>
      <c r="G9" s="51" t="n">
        <f aca="false">IF($B9="","",ROUND(D9*Тохиргоо!$C$24,0))</f>
        <v>5420</v>
      </c>
      <c r="H9" s="51" t="n">
        <f aca="false">IF($B9="","",ROUND(D9*Тохиргоо!$C$25,0))</f>
        <v>10839</v>
      </c>
      <c r="I9" s="51" t="n">
        <f aca="false">IF($B9="","",SUM(E9:H9))</f>
        <v>187880</v>
      </c>
      <c r="J9" s="51" t="n">
        <f aca="false">IF($B9="","",ROUND(D9*Тохиргоо!$C$27,0))</f>
        <v>36131</v>
      </c>
      <c r="K9" s="51" t="n">
        <f aca="false">IF($B9="","",I9+J9)</f>
        <v>224011</v>
      </c>
      <c r="L9" s="46" t="n">
        <f aca="false">IF($B9="","",C9+K9)</f>
        <v>2030556</v>
      </c>
    </row>
    <row r="10" customFormat="false" ht="15" hidden="false" customHeight="false" outlineLevel="0" collapsed="false">
      <c r="A10" s="7" t="n">
        <f aca="false">IF($B10="","",ROW()-4)</f>
        <v>6</v>
      </c>
      <c r="B10" s="41" t="str">
        <f aca="false">IF('Сарын сүүл'!$B10="","",'Сарын сүүл'!$B10)</f>
        <v>Л.Баатар</v>
      </c>
      <c r="C10" s="42" t="n">
        <f aca="false">IF($B10="","",'Сарын сүүл'!$O10)</f>
        <v>1709318</v>
      </c>
      <c r="D10" s="51" t="n">
        <f aca="false">IF($B10="","",IF(Тохиргоо!$C$28=0,C10,MIN(C10,Тохиргоо!$C$14*Тохиргоо!$C$28)))</f>
        <v>1709318</v>
      </c>
      <c r="E10" s="51" t="n">
        <f aca="false">IF($B10="","",ROUND(D10*Тохиргоо!$C$22,0))</f>
        <v>145292</v>
      </c>
      <c r="F10" s="51" t="n">
        <f aca="false">IF($B10="","",ROUND(D10*Тохиргоо!$C$23,0))</f>
        <v>17093</v>
      </c>
      <c r="G10" s="51" t="n">
        <f aca="false">IF($B10="","",ROUND(D10*Тохиргоо!$C$24,0))</f>
        <v>5128</v>
      </c>
      <c r="H10" s="51" t="n">
        <f aca="false">IF($B10="","",ROUND(D10*Тохиргоо!$C$25,0))</f>
        <v>10256</v>
      </c>
      <c r="I10" s="51" t="n">
        <f aca="false">IF($B10="","",SUM(E10:H10))</f>
        <v>177769</v>
      </c>
      <c r="J10" s="51" t="n">
        <f aca="false">IF($B10="","",ROUND(D10*Тохиргоо!$C$27,0))</f>
        <v>34186</v>
      </c>
      <c r="K10" s="51" t="n">
        <f aca="false">IF($B10="","",I10+J10)</f>
        <v>211955</v>
      </c>
      <c r="L10" s="46" t="n">
        <f aca="false">IF($B10="","",C10+K10)</f>
        <v>1921273</v>
      </c>
    </row>
    <row r="11" customFormat="false" ht="15" hidden="false" customHeight="false" outlineLevel="0" collapsed="false">
      <c r="A11" s="7" t="n">
        <f aca="false">IF($B11="","",ROW()-4)</f>
        <v>7</v>
      </c>
      <c r="B11" s="41" t="str">
        <f aca="false">IF('Сарын сүүл'!$B11="","",'Сарын сүүл'!$B11)</f>
        <v>Д.Оюун</v>
      </c>
      <c r="C11" s="42" t="n">
        <f aca="false">IF($B11="","",'Сарын сүүл'!$O11)</f>
        <v>834546</v>
      </c>
      <c r="D11" s="51" t="n">
        <f aca="false">IF($B11="","",IF(Тохиргоо!$C$28=0,C11,MIN(C11,Тохиргоо!$C$14*Тохиргоо!$C$28)))</f>
        <v>834546</v>
      </c>
      <c r="E11" s="51" t="n">
        <f aca="false">IF($B11="","",ROUND(D11*Тохиргоо!$C$22,0))</f>
        <v>70936</v>
      </c>
      <c r="F11" s="51" t="n">
        <f aca="false">IF($B11="","",ROUND(D11*Тохиргоо!$C$23,0))</f>
        <v>8345</v>
      </c>
      <c r="G11" s="51" t="n">
        <f aca="false">IF($B11="","",ROUND(D11*Тохиргоо!$C$24,0))</f>
        <v>2504</v>
      </c>
      <c r="H11" s="51" t="n">
        <f aca="false">IF($B11="","",ROUND(D11*Тохиргоо!$C$25,0))</f>
        <v>5007</v>
      </c>
      <c r="I11" s="51" t="n">
        <f aca="false">IF($B11="","",SUM(E11:H11))</f>
        <v>86792</v>
      </c>
      <c r="J11" s="51" t="n">
        <f aca="false">IF($B11="","",ROUND(D11*Тохиргоо!$C$27,0))</f>
        <v>16691</v>
      </c>
      <c r="K11" s="51" t="n">
        <f aca="false">IF($B11="","",I11+J11)</f>
        <v>103483</v>
      </c>
      <c r="L11" s="46" t="n">
        <f aca="false">IF($B11="","",C11+K11)</f>
        <v>938029</v>
      </c>
    </row>
    <row r="12" customFormat="false" ht="15" hidden="false" customHeight="false" outlineLevel="0" collapsed="false">
      <c r="A12" s="7" t="n">
        <f aca="false">IF($B12="","",ROW()-4)</f>
        <v>8</v>
      </c>
      <c r="B12" s="41" t="str">
        <f aca="false">IF('Сарын сүүл'!$B12="","",'Сарын сүүл'!$B12)</f>
        <v>Ц.Ариунаа</v>
      </c>
      <c r="C12" s="42" t="n">
        <f aca="false">IF($B12="","",'Сарын сүүл'!$O12)</f>
        <v>1420000</v>
      </c>
      <c r="D12" s="51" t="n">
        <f aca="false">IF($B12="","",IF(Тохиргоо!$C$28=0,C12,MIN(C12,Тохиргоо!$C$14*Тохиргоо!$C$28)))</f>
        <v>1420000</v>
      </c>
      <c r="E12" s="51" t="n">
        <f aca="false">IF($B12="","",ROUND(D12*Тохиргоо!$C$22,0))</f>
        <v>120700</v>
      </c>
      <c r="F12" s="51" t="n">
        <f aca="false">IF($B12="","",ROUND(D12*Тохиргоо!$C$23,0))</f>
        <v>14200</v>
      </c>
      <c r="G12" s="51" t="n">
        <f aca="false">IF($B12="","",ROUND(D12*Тохиргоо!$C$24,0))</f>
        <v>4260</v>
      </c>
      <c r="H12" s="51" t="n">
        <f aca="false">IF($B12="","",ROUND(D12*Тохиргоо!$C$25,0))</f>
        <v>8520</v>
      </c>
      <c r="I12" s="51" t="n">
        <f aca="false">IF($B12="","",SUM(E12:H12))</f>
        <v>147680</v>
      </c>
      <c r="J12" s="51" t="n">
        <f aca="false">IF($B12="","",ROUND(D12*Тохиргоо!$C$27,0))</f>
        <v>28400</v>
      </c>
      <c r="K12" s="51" t="n">
        <f aca="false">IF($B12="","",I12+J12)</f>
        <v>176080</v>
      </c>
      <c r="L12" s="46" t="n">
        <f aca="false">IF($B12="","",C12+K12)</f>
        <v>1596080</v>
      </c>
    </row>
    <row r="13" customFormat="false" ht="15" hidden="false" customHeight="false" outlineLevel="0" collapsed="false">
      <c r="A13" s="7" t="str">
        <f aca="false">IF($B13="","",ROW()-4)</f>
        <v/>
      </c>
      <c r="B13" s="41" t="str">
        <f aca="false">IF('Сарын сүүл'!$B13="","",'Сарын сүүл'!$B13)</f>
        <v/>
      </c>
      <c r="C13" s="42" t="str">
        <f aca="false">IF($B13="","",'Сарын сүүл'!$O13)</f>
        <v/>
      </c>
      <c r="D13" s="51" t="str">
        <f aca="false">IF($B13="","",IF(Тохиргоо!$C$28=0,C13,MIN(C13,Тохиргоо!$C$14*Тохиргоо!$C$28)))</f>
        <v/>
      </c>
      <c r="E13" s="51" t="str">
        <f aca="false">IF($B13="","",ROUND(D13*Тохиргоо!$C$22,0))</f>
        <v/>
      </c>
      <c r="F13" s="51" t="str">
        <f aca="false">IF($B13="","",ROUND(D13*Тохиргоо!$C$23,0))</f>
        <v/>
      </c>
      <c r="G13" s="51" t="str">
        <f aca="false">IF($B13="","",ROUND(D13*Тохиргоо!$C$24,0))</f>
        <v/>
      </c>
      <c r="H13" s="51" t="str">
        <f aca="false">IF($B13="","",ROUND(D13*Тохиргоо!$C$25,0))</f>
        <v/>
      </c>
      <c r="I13" s="51" t="str">
        <f aca="false">IF($B13="","",SUM(E13:H13))</f>
        <v/>
      </c>
      <c r="J13" s="51" t="str">
        <f aca="false">IF($B13="","",ROUND(D13*Тохиргоо!$C$27,0))</f>
        <v/>
      </c>
      <c r="K13" s="51" t="str">
        <f aca="false">IF($B13="","",I13+J13)</f>
        <v/>
      </c>
      <c r="L13" s="46" t="str">
        <f aca="false">IF($B13="","",C13+K13)</f>
        <v/>
      </c>
    </row>
    <row r="14" customFormat="false" ht="15" hidden="false" customHeight="false" outlineLevel="0" collapsed="false">
      <c r="A14" s="7" t="str">
        <f aca="false">IF($B14="","",ROW()-4)</f>
        <v/>
      </c>
      <c r="B14" s="41" t="str">
        <f aca="false">IF('Сарын сүүл'!$B14="","",'Сарын сүүл'!$B14)</f>
        <v/>
      </c>
      <c r="C14" s="42" t="str">
        <f aca="false">IF($B14="","",'Сарын сүүл'!$O14)</f>
        <v/>
      </c>
      <c r="D14" s="51" t="str">
        <f aca="false">IF($B14="","",IF(Тохиргоо!$C$28=0,C14,MIN(C14,Тохиргоо!$C$14*Тохиргоо!$C$28)))</f>
        <v/>
      </c>
      <c r="E14" s="51" t="str">
        <f aca="false">IF($B14="","",ROUND(D14*Тохиргоо!$C$22,0))</f>
        <v/>
      </c>
      <c r="F14" s="51" t="str">
        <f aca="false">IF($B14="","",ROUND(D14*Тохиргоо!$C$23,0))</f>
        <v/>
      </c>
      <c r="G14" s="51" t="str">
        <f aca="false">IF($B14="","",ROUND(D14*Тохиргоо!$C$24,0))</f>
        <v/>
      </c>
      <c r="H14" s="51" t="str">
        <f aca="false">IF($B14="","",ROUND(D14*Тохиргоо!$C$25,0))</f>
        <v/>
      </c>
      <c r="I14" s="51" t="str">
        <f aca="false">IF($B14="","",SUM(E14:H14))</f>
        <v/>
      </c>
      <c r="J14" s="51" t="str">
        <f aca="false">IF($B14="","",ROUND(D14*Тохиргоо!$C$27,0))</f>
        <v/>
      </c>
      <c r="K14" s="51" t="str">
        <f aca="false">IF($B14="","",I14+J14)</f>
        <v/>
      </c>
      <c r="L14" s="46" t="str">
        <f aca="false">IF($B14="","",C14+K14)</f>
        <v/>
      </c>
    </row>
    <row r="15" customFormat="false" ht="15" hidden="false" customHeight="false" outlineLevel="0" collapsed="false">
      <c r="A15" s="7" t="str">
        <f aca="false">IF($B15="","",ROW()-4)</f>
        <v/>
      </c>
      <c r="B15" s="41" t="str">
        <f aca="false">IF('Сарын сүүл'!$B15="","",'Сарын сүүл'!$B15)</f>
        <v/>
      </c>
      <c r="C15" s="42" t="str">
        <f aca="false">IF($B15="","",'Сарын сүүл'!$O15)</f>
        <v/>
      </c>
      <c r="D15" s="51" t="str">
        <f aca="false">IF($B15="","",IF(Тохиргоо!$C$28=0,C15,MIN(C15,Тохиргоо!$C$14*Тохиргоо!$C$28)))</f>
        <v/>
      </c>
      <c r="E15" s="51" t="str">
        <f aca="false">IF($B15="","",ROUND(D15*Тохиргоо!$C$22,0))</f>
        <v/>
      </c>
      <c r="F15" s="51" t="str">
        <f aca="false">IF($B15="","",ROUND(D15*Тохиргоо!$C$23,0))</f>
        <v/>
      </c>
      <c r="G15" s="51" t="str">
        <f aca="false">IF($B15="","",ROUND(D15*Тохиргоо!$C$24,0))</f>
        <v/>
      </c>
      <c r="H15" s="51" t="str">
        <f aca="false">IF($B15="","",ROUND(D15*Тохиргоо!$C$25,0))</f>
        <v/>
      </c>
      <c r="I15" s="51" t="str">
        <f aca="false">IF($B15="","",SUM(E15:H15))</f>
        <v/>
      </c>
      <c r="J15" s="51" t="str">
        <f aca="false">IF($B15="","",ROUND(D15*Тохиргоо!$C$27,0))</f>
        <v/>
      </c>
      <c r="K15" s="51" t="str">
        <f aca="false">IF($B15="","",I15+J15)</f>
        <v/>
      </c>
      <c r="L15" s="46" t="str">
        <f aca="false">IF($B15="","",C15+K15)</f>
        <v/>
      </c>
    </row>
    <row r="16" customFormat="false" ht="15" hidden="false" customHeight="false" outlineLevel="0" collapsed="false">
      <c r="A16" s="7" t="str">
        <f aca="false">IF($B16="","",ROW()-4)</f>
        <v/>
      </c>
      <c r="B16" s="41" t="str">
        <f aca="false">IF('Сарын сүүл'!$B16="","",'Сарын сүүл'!$B16)</f>
        <v/>
      </c>
      <c r="C16" s="42" t="str">
        <f aca="false">IF($B16="","",'Сарын сүүл'!$O16)</f>
        <v/>
      </c>
      <c r="D16" s="51" t="str">
        <f aca="false">IF($B16="","",IF(Тохиргоо!$C$28=0,C16,MIN(C16,Тохиргоо!$C$14*Тохиргоо!$C$28)))</f>
        <v/>
      </c>
      <c r="E16" s="51" t="str">
        <f aca="false">IF($B16="","",ROUND(D16*Тохиргоо!$C$22,0))</f>
        <v/>
      </c>
      <c r="F16" s="51" t="str">
        <f aca="false">IF($B16="","",ROUND(D16*Тохиргоо!$C$23,0))</f>
        <v/>
      </c>
      <c r="G16" s="51" t="str">
        <f aca="false">IF($B16="","",ROUND(D16*Тохиргоо!$C$24,0))</f>
        <v/>
      </c>
      <c r="H16" s="51" t="str">
        <f aca="false">IF($B16="","",ROUND(D16*Тохиргоо!$C$25,0))</f>
        <v/>
      </c>
      <c r="I16" s="51" t="str">
        <f aca="false">IF($B16="","",SUM(E16:H16))</f>
        <v/>
      </c>
      <c r="J16" s="51" t="str">
        <f aca="false">IF($B16="","",ROUND(D16*Тохиргоо!$C$27,0))</f>
        <v/>
      </c>
      <c r="K16" s="51" t="str">
        <f aca="false">IF($B16="","",I16+J16)</f>
        <v/>
      </c>
      <c r="L16" s="46" t="str">
        <f aca="false">IF($B16="","",C16+K16)</f>
        <v/>
      </c>
    </row>
    <row r="17" customFormat="false" ht="15" hidden="false" customHeight="false" outlineLevel="0" collapsed="false">
      <c r="A17" s="7" t="str">
        <f aca="false">IF($B17="","",ROW()-4)</f>
        <v/>
      </c>
      <c r="B17" s="41" t="str">
        <f aca="false">IF('Сарын сүүл'!$B17="","",'Сарын сүүл'!$B17)</f>
        <v/>
      </c>
      <c r="C17" s="42" t="str">
        <f aca="false">IF($B17="","",'Сарын сүүл'!$O17)</f>
        <v/>
      </c>
      <c r="D17" s="51" t="str">
        <f aca="false">IF($B17="","",IF(Тохиргоо!$C$28=0,C17,MIN(C17,Тохиргоо!$C$14*Тохиргоо!$C$28)))</f>
        <v/>
      </c>
      <c r="E17" s="51" t="str">
        <f aca="false">IF($B17="","",ROUND(D17*Тохиргоо!$C$22,0))</f>
        <v/>
      </c>
      <c r="F17" s="51" t="str">
        <f aca="false">IF($B17="","",ROUND(D17*Тохиргоо!$C$23,0))</f>
        <v/>
      </c>
      <c r="G17" s="51" t="str">
        <f aca="false">IF($B17="","",ROUND(D17*Тохиргоо!$C$24,0))</f>
        <v/>
      </c>
      <c r="H17" s="51" t="str">
        <f aca="false">IF($B17="","",ROUND(D17*Тохиргоо!$C$25,0))</f>
        <v/>
      </c>
      <c r="I17" s="51" t="str">
        <f aca="false">IF($B17="","",SUM(E17:H17))</f>
        <v/>
      </c>
      <c r="J17" s="51" t="str">
        <f aca="false">IF($B17="","",ROUND(D17*Тохиргоо!$C$27,0))</f>
        <v/>
      </c>
      <c r="K17" s="51" t="str">
        <f aca="false">IF($B17="","",I17+J17)</f>
        <v/>
      </c>
      <c r="L17" s="46" t="str">
        <f aca="false">IF($B17="","",C17+K17)</f>
        <v/>
      </c>
    </row>
    <row r="18" customFormat="false" ht="15" hidden="false" customHeight="false" outlineLevel="0" collapsed="false">
      <c r="A18" s="7" t="str">
        <f aca="false">IF($B18="","",ROW()-4)</f>
        <v/>
      </c>
      <c r="B18" s="41" t="str">
        <f aca="false">IF('Сарын сүүл'!$B18="","",'Сарын сүүл'!$B18)</f>
        <v/>
      </c>
      <c r="C18" s="42" t="str">
        <f aca="false">IF($B18="","",'Сарын сүүл'!$O18)</f>
        <v/>
      </c>
      <c r="D18" s="51" t="str">
        <f aca="false">IF($B18="","",IF(Тохиргоо!$C$28=0,C18,MIN(C18,Тохиргоо!$C$14*Тохиргоо!$C$28)))</f>
        <v/>
      </c>
      <c r="E18" s="51" t="str">
        <f aca="false">IF($B18="","",ROUND(D18*Тохиргоо!$C$22,0))</f>
        <v/>
      </c>
      <c r="F18" s="51" t="str">
        <f aca="false">IF($B18="","",ROUND(D18*Тохиргоо!$C$23,0))</f>
        <v/>
      </c>
      <c r="G18" s="51" t="str">
        <f aca="false">IF($B18="","",ROUND(D18*Тохиргоо!$C$24,0))</f>
        <v/>
      </c>
      <c r="H18" s="51" t="str">
        <f aca="false">IF($B18="","",ROUND(D18*Тохиргоо!$C$25,0))</f>
        <v/>
      </c>
      <c r="I18" s="51" t="str">
        <f aca="false">IF($B18="","",SUM(E18:H18))</f>
        <v/>
      </c>
      <c r="J18" s="51" t="str">
        <f aca="false">IF($B18="","",ROUND(D18*Тохиргоо!$C$27,0))</f>
        <v/>
      </c>
      <c r="K18" s="51" t="str">
        <f aca="false">IF($B18="","",I18+J18)</f>
        <v/>
      </c>
      <c r="L18" s="46" t="str">
        <f aca="false">IF($B18="","",C18+K18)</f>
        <v/>
      </c>
    </row>
    <row r="19" customFormat="false" ht="15" hidden="false" customHeight="false" outlineLevel="0" collapsed="false">
      <c r="A19" s="7" t="str">
        <f aca="false">IF($B19="","",ROW()-4)</f>
        <v/>
      </c>
      <c r="B19" s="41" t="str">
        <f aca="false">IF('Сарын сүүл'!$B19="","",'Сарын сүүл'!$B19)</f>
        <v/>
      </c>
      <c r="C19" s="42" t="str">
        <f aca="false">IF($B19="","",'Сарын сүүл'!$O19)</f>
        <v/>
      </c>
      <c r="D19" s="51" t="str">
        <f aca="false">IF($B19="","",IF(Тохиргоо!$C$28=0,C19,MIN(C19,Тохиргоо!$C$14*Тохиргоо!$C$28)))</f>
        <v/>
      </c>
      <c r="E19" s="51" t="str">
        <f aca="false">IF($B19="","",ROUND(D19*Тохиргоо!$C$22,0))</f>
        <v/>
      </c>
      <c r="F19" s="51" t="str">
        <f aca="false">IF($B19="","",ROUND(D19*Тохиргоо!$C$23,0))</f>
        <v/>
      </c>
      <c r="G19" s="51" t="str">
        <f aca="false">IF($B19="","",ROUND(D19*Тохиргоо!$C$24,0))</f>
        <v/>
      </c>
      <c r="H19" s="51" t="str">
        <f aca="false">IF($B19="","",ROUND(D19*Тохиргоо!$C$25,0))</f>
        <v/>
      </c>
      <c r="I19" s="51" t="str">
        <f aca="false">IF($B19="","",SUM(E19:H19))</f>
        <v/>
      </c>
      <c r="J19" s="51" t="str">
        <f aca="false">IF($B19="","",ROUND(D19*Тохиргоо!$C$27,0))</f>
        <v/>
      </c>
      <c r="K19" s="51" t="str">
        <f aca="false">IF($B19="","",I19+J19)</f>
        <v/>
      </c>
      <c r="L19" s="46" t="str">
        <f aca="false">IF($B19="","",C19+K19)</f>
        <v/>
      </c>
    </row>
    <row r="20" customFormat="false" ht="15" hidden="false" customHeight="false" outlineLevel="0" collapsed="false">
      <c r="A20" s="7" t="str">
        <f aca="false">IF($B20="","",ROW()-4)</f>
        <v/>
      </c>
      <c r="B20" s="41" t="str">
        <f aca="false">IF('Сарын сүүл'!$B20="","",'Сарын сүүл'!$B20)</f>
        <v/>
      </c>
      <c r="C20" s="42" t="str">
        <f aca="false">IF($B20="","",'Сарын сүүл'!$O20)</f>
        <v/>
      </c>
      <c r="D20" s="51" t="str">
        <f aca="false">IF($B20="","",IF(Тохиргоо!$C$28=0,C20,MIN(C20,Тохиргоо!$C$14*Тохиргоо!$C$28)))</f>
        <v/>
      </c>
      <c r="E20" s="51" t="str">
        <f aca="false">IF($B20="","",ROUND(D20*Тохиргоо!$C$22,0))</f>
        <v/>
      </c>
      <c r="F20" s="51" t="str">
        <f aca="false">IF($B20="","",ROUND(D20*Тохиргоо!$C$23,0))</f>
        <v/>
      </c>
      <c r="G20" s="51" t="str">
        <f aca="false">IF($B20="","",ROUND(D20*Тохиргоо!$C$24,0))</f>
        <v/>
      </c>
      <c r="H20" s="51" t="str">
        <f aca="false">IF($B20="","",ROUND(D20*Тохиргоо!$C$25,0))</f>
        <v/>
      </c>
      <c r="I20" s="51" t="str">
        <f aca="false">IF($B20="","",SUM(E20:H20))</f>
        <v/>
      </c>
      <c r="J20" s="51" t="str">
        <f aca="false">IF($B20="","",ROUND(D20*Тохиргоо!$C$27,0))</f>
        <v/>
      </c>
      <c r="K20" s="51" t="str">
        <f aca="false">IF($B20="","",I20+J20)</f>
        <v/>
      </c>
      <c r="L20" s="46" t="str">
        <f aca="false">IF($B20="","",C20+K20)</f>
        <v/>
      </c>
    </row>
    <row r="21" customFormat="false" ht="15" hidden="false" customHeight="false" outlineLevel="0" collapsed="false">
      <c r="A21" s="7" t="str">
        <f aca="false">IF($B21="","",ROW()-4)</f>
        <v/>
      </c>
      <c r="B21" s="41" t="str">
        <f aca="false">IF('Сарын сүүл'!$B21="","",'Сарын сүүл'!$B21)</f>
        <v/>
      </c>
      <c r="C21" s="42" t="str">
        <f aca="false">IF($B21="","",'Сарын сүүл'!$O21)</f>
        <v/>
      </c>
      <c r="D21" s="51" t="str">
        <f aca="false">IF($B21="","",IF(Тохиргоо!$C$28=0,C21,MIN(C21,Тохиргоо!$C$14*Тохиргоо!$C$28)))</f>
        <v/>
      </c>
      <c r="E21" s="51" t="str">
        <f aca="false">IF($B21="","",ROUND(D21*Тохиргоо!$C$22,0))</f>
        <v/>
      </c>
      <c r="F21" s="51" t="str">
        <f aca="false">IF($B21="","",ROUND(D21*Тохиргоо!$C$23,0))</f>
        <v/>
      </c>
      <c r="G21" s="51" t="str">
        <f aca="false">IF($B21="","",ROUND(D21*Тохиргоо!$C$24,0))</f>
        <v/>
      </c>
      <c r="H21" s="51" t="str">
        <f aca="false">IF($B21="","",ROUND(D21*Тохиргоо!$C$25,0))</f>
        <v/>
      </c>
      <c r="I21" s="51" t="str">
        <f aca="false">IF($B21="","",SUM(E21:H21))</f>
        <v/>
      </c>
      <c r="J21" s="51" t="str">
        <f aca="false">IF($B21="","",ROUND(D21*Тохиргоо!$C$27,0))</f>
        <v/>
      </c>
      <c r="K21" s="51" t="str">
        <f aca="false">IF($B21="","",I21+J21)</f>
        <v/>
      </c>
      <c r="L21" s="46" t="str">
        <f aca="false">IF($B21="","",C21+K21)</f>
        <v/>
      </c>
    </row>
    <row r="22" customFormat="false" ht="15" hidden="false" customHeight="false" outlineLevel="0" collapsed="false">
      <c r="A22" s="7" t="str">
        <f aca="false">IF($B22="","",ROW()-4)</f>
        <v/>
      </c>
      <c r="B22" s="41" t="str">
        <f aca="false">IF('Сарын сүүл'!$B22="","",'Сарын сүүл'!$B22)</f>
        <v/>
      </c>
      <c r="C22" s="42" t="str">
        <f aca="false">IF($B22="","",'Сарын сүүл'!$O22)</f>
        <v/>
      </c>
      <c r="D22" s="51" t="str">
        <f aca="false">IF($B22="","",IF(Тохиргоо!$C$28=0,C22,MIN(C22,Тохиргоо!$C$14*Тохиргоо!$C$28)))</f>
        <v/>
      </c>
      <c r="E22" s="51" t="str">
        <f aca="false">IF($B22="","",ROUND(D22*Тохиргоо!$C$22,0))</f>
        <v/>
      </c>
      <c r="F22" s="51" t="str">
        <f aca="false">IF($B22="","",ROUND(D22*Тохиргоо!$C$23,0))</f>
        <v/>
      </c>
      <c r="G22" s="51" t="str">
        <f aca="false">IF($B22="","",ROUND(D22*Тохиргоо!$C$24,0))</f>
        <v/>
      </c>
      <c r="H22" s="51" t="str">
        <f aca="false">IF($B22="","",ROUND(D22*Тохиргоо!$C$25,0))</f>
        <v/>
      </c>
      <c r="I22" s="51" t="str">
        <f aca="false">IF($B22="","",SUM(E22:H22))</f>
        <v/>
      </c>
      <c r="J22" s="51" t="str">
        <f aca="false">IF($B22="","",ROUND(D22*Тохиргоо!$C$27,0))</f>
        <v/>
      </c>
      <c r="K22" s="51" t="str">
        <f aca="false">IF($B22="","",I22+J22)</f>
        <v/>
      </c>
      <c r="L22" s="46" t="str">
        <f aca="false">IF($B22="","",C22+K22)</f>
        <v/>
      </c>
    </row>
    <row r="23" customFormat="false" ht="15" hidden="false" customHeight="false" outlineLevel="0" collapsed="false">
      <c r="A23" s="7" t="str">
        <f aca="false">IF($B23="","",ROW()-4)</f>
        <v/>
      </c>
      <c r="B23" s="41" t="str">
        <f aca="false">IF('Сарын сүүл'!$B23="","",'Сарын сүүл'!$B23)</f>
        <v/>
      </c>
      <c r="C23" s="42" t="str">
        <f aca="false">IF($B23="","",'Сарын сүүл'!$O23)</f>
        <v/>
      </c>
      <c r="D23" s="51" t="str">
        <f aca="false">IF($B23="","",IF(Тохиргоо!$C$28=0,C23,MIN(C23,Тохиргоо!$C$14*Тохиргоо!$C$28)))</f>
        <v/>
      </c>
      <c r="E23" s="51" t="str">
        <f aca="false">IF($B23="","",ROUND(D23*Тохиргоо!$C$22,0))</f>
        <v/>
      </c>
      <c r="F23" s="51" t="str">
        <f aca="false">IF($B23="","",ROUND(D23*Тохиргоо!$C$23,0))</f>
        <v/>
      </c>
      <c r="G23" s="51" t="str">
        <f aca="false">IF($B23="","",ROUND(D23*Тохиргоо!$C$24,0))</f>
        <v/>
      </c>
      <c r="H23" s="51" t="str">
        <f aca="false">IF($B23="","",ROUND(D23*Тохиргоо!$C$25,0))</f>
        <v/>
      </c>
      <c r="I23" s="51" t="str">
        <f aca="false">IF($B23="","",SUM(E23:H23))</f>
        <v/>
      </c>
      <c r="J23" s="51" t="str">
        <f aca="false">IF($B23="","",ROUND(D23*Тохиргоо!$C$27,0))</f>
        <v/>
      </c>
      <c r="K23" s="51" t="str">
        <f aca="false">IF($B23="","",I23+J23)</f>
        <v/>
      </c>
      <c r="L23" s="46" t="str">
        <f aca="false">IF($B23="","",C23+K23)</f>
        <v/>
      </c>
    </row>
    <row r="24" customFormat="false" ht="15" hidden="false" customHeight="false" outlineLevel="0" collapsed="false">
      <c r="A24" s="7" t="str">
        <f aca="false">IF($B24="","",ROW()-4)</f>
        <v/>
      </c>
      <c r="B24" s="41" t="str">
        <f aca="false">IF('Сарын сүүл'!$B24="","",'Сарын сүүл'!$B24)</f>
        <v/>
      </c>
      <c r="C24" s="42" t="str">
        <f aca="false">IF($B24="","",'Сарын сүүл'!$O24)</f>
        <v/>
      </c>
      <c r="D24" s="51" t="str">
        <f aca="false">IF($B24="","",IF(Тохиргоо!$C$28=0,C24,MIN(C24,Тохиргоо!$C$14*Тохиргоо!$C$28)))</f>
        <v/>
      </c>
      <c r="E24" s="51" t="str">
        <f aca="false">IF($B24="","",ROUND(D24*Тохиргоо!$C$22,0))</f>
        <v/>
      </c>
      <c r="F24" s="51" t="str">
        <f aca="false">IF($B24="","",ROUND(D24*Тохиргоо!$C$23,0))</f>
        <v/>
      </c>
      <c r="G24" s="51" t="str">
        <f aca="false">IF($B24="","",ROUND(D24*Тохиргоо!$C$24,0))</f>
        <v/>
      </c>
      <c r="H24" s="51" t="str">
        <f aca="false">IF($B24="","",ROUND(D24*Тохиргоо!$C$25,0))</f>
        <v/>
      </c>
      <c r="I24" s="51" t="str">
        <f aca="false">IF($B24="","",SUM(E24:H24))</f>
        <v/>
      </c>
      <c r="J24" s="51" t="str">
        <f aca="false">IF($B24="","",ROUND(D24*Тохиргоо!$C$27,0))</f>
        <v/>
      </c>
      <c r="K24" s="51" t="str">
        <f aca="false">IF($B24="","",I24+J24)</f>
        <v/>
      </c>
      <c r="L24" s="46" t="str">
        <f aca="false">IF($B24="","",C24+K24)</f>
        <v/>
      </c>
    </row>
    <row r="25" customFormat="false" ht="15" hidden="false" customHeight="false" outlineLevel="0" collapsed="false">
      <c r="A25" s="7" t="str">
        <f aca="false">IF($B25="","",ROW()-4)</f>
        <v/>
      </c>
      <c r="B25" s="41" t="str">
        <f aca="false">IF('Сарын сүүл'!$B25="","",'Сарын сүүл'!$B25)</f>
        <v/>
      </c>
      <c r="C25" s="42" t="str">
        <f aca="false">IF($B25="","",'Сарын сүүл'!$O25)</f>
        <v/>
      </c>
      <c r="D25" s="51" t="str">
        <f aca="false">IF($B25="","",IF(Тохиргоо!$C$28=0,C25,MIN(C25,Тохиргоо!$C$14*Тохиргоо!$C$28)))</f>
        <v/>
      </c>
      <c r="E25" s="51" t="str">
        <f aca="false">IF($B25="","",ROUND(D25*Тохиргоо!$C$22,0))</f>
        <v/>
      </c>
      <c r="F25" s="51" t="str">
        <f aca="false">IF($B25="","",ROUND(D25*Тохиргоо!$C$23,0))</f>
        <v/>
      </c>
      <c r="G25" s="51" t="str">
        <f aca="false">IF($B25="","",ROUND(D25*Тохиргоо!$C$24,0))</f>
        <v/>
      </c>
      <c r="H25" s="51" t="str">
        <f aca="false">IF($B25="","",ROUND(D25*Тохиргоо!$C$25,0))</f>
        <v/>
      </c>
      <c r="I25" s="51" t="str">
        <f aca="false">IF($B25="","",SUM(E25:H25))</f>
        <v/>
      </c>
      <c r="J25" s="51" t="str">
        <f aca="false">IF($B25="","",ROUND(D25*Тохиргоо!$C$27,0))</f>
        <v/>
      </c>
      <c r="K25" s="51" t="str">
        <f aca="false">IF($B25="","",I25+J25)</f>
        <v/>
      </c>
      <c r="L25" s="46" t="str">
        <f aca="false">IF($B25="","",C25+K25)</f>
        <v/>
      </c>
    </row>
    <row r="26" customFormat="false" ht="15" hidden="false" customHeight="false" outlineLevel="0" collapsed="false">
      <c r="A26" s="7" t="str">
        <f aca="false">IF($B26="","",ROW()-4)</f>
        <v/>
      </c>
      <c r="B26" s="41" t="str">
        <f aca="false">IF('Сарын сүүл'!$B26="","",'Сарын сүүл'!$B26)</f>
        <v/>
      </c>
      <c r="C26" s="42" t="str">
        <f aca="false">IF($B26="","",'Сарын сүүл'!$O26)</f>
        <v/>
      </c>
      <c r="D26" s="51" t="str">
        <f aca="false">IF($B26="","",IF(Тохиргоо!$C$28=0,C26,MIN(C26,Тохиргоо!$C$14*Тохиргоо!$C$28)))</f>
        <v/>
      </c>
      <c r="E26" s="51" t="str">
        <f aca="false">IF($B26="","",ROUND(D26*Тохиргоо!$C$22,0))</f>
        <v/>
      </c>
      <c r="F26" s="51" t="str">
        <f aca="false">IF($B26="","",ROUND(D26*Тохиргоо!$C$23,0))</f>
        <v/>
      </c>
      <c r="G26" s="51" t="str">
        <f aca="false">IF($B26="","",ROUND(D26*Тохиргоо!$C$24,0))</f>
        <v/>
      </c>
      <c r="H26" s="51" t="str">
        <f aca="false">IF($B26="","",ROUND(D26*Тохиргоо!$C$25,0))</f>
        <v/>
      </c>
      <c r="I26" s="51" t="str">
        <f aca="false">IF($B26="","",SUM(E26:H26))</f>
        <v/>
      </c>
      <c r="J26" s="51" t="str">
        <f aca="false">IF($B26="","",ROUND(D26*Тохиргоо!$C$27,0))</f>
        <v/>
      </c>
      <c r="K26" s="51" t="str">
        <f aca="false">IF($B26="","",I26+J26)</f>
        <v/>
      </c>
      <c r="L26" s="46" t="str">
        <f aca="false">IF($B26="","",C26+K26)</f>
        <v/>
      </c>
    </row>
    <row r="27" customFormat="false" ht="15" hidden="false" customHeight="false" outlineLevel="0" collapsed="false">
      <c r="A27" s="7" t="str">
        <f aca="false">IF($B27="","",ROW()-4)</f>
        <v/>
      </c>
      <c r="B27" s="41" t="str">
        <f aca="false">IF('Сарын сүүл'!$B27="","",'Сарын сүүл'!$B27)</f>
        <v/>
      </c>
      <c r="C27" s="42" t="str">
        <f aca="false">IF($B27="","",'Сарын сүүл'!$O27)</f>
        <v/>
      </c>
      <c r="D27" s="51" t="str">
        <f aca="false">IF($B27="","",IF(Тохиргоо!$C$28=0,C27,MIN(C27,Тохиргоо!$C$14*Тохиргоо!$C$28)))</f>
        <v/>
      </c>
      <c r="E27" s="51" t="str">
        <f aca="false">IF($B27="","",ROUND(D27*Тохиргоо!$C$22,0))</f>
        <v/>
      </c>
      <c r="F27" s="51" t="str">
        <f aca="false">IF($B27="","",ROUND(D27*Тохиргоо!$C$23,0))</f>
        <v/>
      </c>
      <c r="G27" s="51" t="str">
        <f aca="false">IF($B27="","",ROUND(D27*Тохиргоо!$C$24,0))</f>
        <v/>
      </c>
      <c r="H27" s="51" t="str">
        <f aca="false">IF($B27="","",ROUND(D27*Тохиргоо!$C$25,0))</f>
        <v/>
      </c>
      <c r="I27" s="51" t="str">
        <f aca="false">IF($B27="","",SUM(E27:H27))</f>
        <v/>
      </c>
      <c r="J27" s="51" t="str">
        <f aca="false">IF($B27="","",ROUND(D27*Тохиргоо!$C$27,0))</f>
        <v/>
      </c>
      <c r="K27" s="51" t="str">
        <f aca="false">IF($B27="","",I27+J27)</f>
        <v/>
      </c>
      <c r="L27" s="46" t="str">
        <f aca="false">IF($B27="","",C27+K27)</f>
        <v/>
      </c>
    </row>
    <row r="28" customFormat="false" ht="15" hidden="false" customHeight="false" outlineLevel="0" collapsed="false">
      <c r="A28" s="7" t="str">
        <f aca="false">IF($B28="","",ROW()-4)</f>
        <v/>
      </c>
      <c r="B28" s="41" t="str">
        <f aca="false">IF('Сарын сүүл'!$B28="","",'Сарын сүүл'!$B28)</f>
        <v/>
      </c>
      <c r="C28" s="42" t="str">
        <f aca="false">IF($B28="","",'Сарын сүүл'!$O28)</f>
        <v/>
      </c>
      <c r="D28" s="51" t="str">
        <f aca="false">IF($B28="","",IF(Тохиргоо!$C$28=0,C28,MIN(C28,Тохиргоо!$C$14*Тохиргоо!$C$28)))</f>
        <v/>
      </c>
      <c r="E28" s="51" t="str">
        <f aca="false">IF($B28="","",ROUND(D28*Тохиргоо!$C$22,0))</f>
        <v/>
      </c>
      <c r="F28" s="51" t="str">
        <f aca="false">IF($B28="","",ROUND(D28*Тохиргоо!$C$23,0))</f>
        <v/>
      </c>
      <c r="G28" s="51" t="str">
        <f aca="false">IF($B28="","",ROUND(D28*Тохиргоо!$C$24,0))</f>
        <v/>
      </c>
      <c r="H28" s="51" t="str">
        <f aca="false">IF($B28="","",ROUND(D28*Тохиргоо!$C$25,0))</f>
        <v/>
      </c>
      <c r="I28" s="51" t="str">
        <f aca="false">IF($B28="","",SUM(E28:H28))</f>
        <v/>
      </c>
      <c r="J28" s="51" t="str">
        <f aca="false">IF($B28="","",ROUND(D28*Тохиргоо!$C$27,0))</f>
        <v/>
      </c>
      <c r="K28" s="51" t="str">
        <f aca="false">IF($B28="","",I28+J28)</f>
        <v/>
      </c>
      <c r="L28" s="46" t="str">
        <f aca="false">IF($B28="","",C28+K28)</f>
        <v/>
      </c>
    </row>
    <row r="29" customFormat="false" ht="15" hidden="false" customHeight="false" outlineLevel="0" collapsed="false">
      <c r="A29" s="7" t="str">
        <f aca="false">IF($B29="","",ROW()-4)</f>
        <v/>
      </c>
      <c r="B29" s="41" t="str">
        <f aca="false">IF('Сарын сүүл'!$B29="","",'Сарын сүүл'!$B29)</f>
        <v/>
      </c>
      <c r="C29" s="42" t="str">
        <f aca="false">IF($B29="","",'Сарын сүүл'!$O29)</f>
        <v/>
      </c>
      <c r="D29" s="51" t="str">
        <f aca="false">IF($B29="","",IF(Тохиргоо!$C$28=0,C29,MIN(C29,Тохиргоо!$C$14*Тохиргоо!$C$28)))</f>
        <v/>
      </c>
      <c r="E29" s="51" t="str">
        <f aca="false">IF($B29="","",ROUND(D29*Тохиргоо!$C$22,0))</f>
        <v/>
      </c>
      <c r="F29" s="51" t="str">
        <f aca="false">IF($B29="","",ROUND(D29*Тохиргоо!$C$23,0))</f>
        <v/>
      </c>
      <c r="G29" s="51" t="str">
        <f aca="false">IF($B29="","",ROUND(D29*Тохиргоо!$C$24,0))</f>
        <v/>
      </c>
      <c r="H29" s="51" t="str">
        <f aca="false">IF($B29="","",ROUND(D29*Тохиргоо!$C$25,0))</f>
        <v/>
      </c>
      <c r="I29" s="51" t="str">
        <f aca="false">IF($B29="","",SUM(E29:H29))</f>
        <v/>
      </c>
      <c r="J29" s="51" t="str">
        <f aca="false">IF($B29="","",ROUND(D29*Тохиргоо!$C$27,0))</f>
        <v/>
      </c>
      <c r="K29" s="51" t="str">
        <f aca="false">IF($B29="","",I29+J29)</f>
        <v/>
      </c>
      <c r="L29" s="46" t="str">
        <f aca="false">IF($B29="","",C29+K29)</f>
        <v/>
      </c>
    </row>
    <row r="30" customFormat="false" ht="15" hidden="false" customHeight="false" outlineLevel="0" collapsed="false">
      <c r="A30" s="7" t="str">
        <f aca="false">IF($B30="","",ROW()-4)</f>
        <v/>
      </c>
      <c r="B30" s="41" t="str">
        <f aca="false">IF('Сарын сүүл'!$B30="","",'Сарын сүүл'!$B30)</f>
        <v/>
      </c>
      <c r="C30" s="42" t="str">
        <f aca="false">IF($B30="","",'Сарын сүүл'!$O30)</f>
        <v/>
      </c>
      <c r="D30" s="51" t="str">
        <f aca="false">IF($B30="","",IF(Тохиргоо!$C$28=0,C30,MIN(C30,Тохиргоо!$C$14*Тохиргоо!$C$28)))</f>
        <v/>
      </c>
      <c r="E30" s="51" t="str">
        <f aca="false">IF($B30="","",ROUND(D30*Тохиргоо!$C$22,0))</f>
        <v/>
      </c>
      <c r="F30" s="51" t="str">
        <f aca="false">IF($B30="","",ROUND(D30*Тохиргоо!$C$23,0))</f>
        <v/>
      </c>
      <c r="G30" s="51" t="str">
        <f aca="false">IF($B30="","",ROUND(D30*Тохиргоо!$C$24,0))</f>
        <v/>
      </c>
      <c r="H30" s="51" t="str">
        <f aca="false">IF($B30="","",ROUND(D30*Тохиргоо!$C$25,0))</f>
        <v/>
      </c>
      <c r="I30" s="51" t="str">
        <f aca="false">IF($B30="","",SUM(E30:H30))</f>
        <v/>
      </c>
      <c r="J30" s="51" t="str">
        <f aca="false">IF($B30="","",ROUND(D30*Тохиргоо!$C$27,0))</f>
        <v/>
      </c>
      <c r="K30" s="51" t="str">
        <f aca="false">IF($B30="","",I30+J30)</f>
        <v/>
      </c>
      <c r="L30" s="46" t="str">
        <f aca="false">IF($B30="","",C30+K30)</f>
        <v/>
      </c>
    </row>
    <row r="31" customFormat="false" ht="15" hidden="false" customHeight="false" outlineLevel="0" collapsed="false">
      <c r="A31" s="7" t="str">
        <f aca="false">IF($B31="","",ROW()-4)</f>
        <v/>
      </c>
      <c r="B31" s="41" t="str">
        <f aca="false">IF('Сарын сүүл'!$B31="","",'Сарын сүүл'!$B31)</f>
        <v/>
      </c>
      <c r="C31" s="42" t="str">
        <f aca="false">IF($B31="","",'Сарын сүүл'!$O31)</f>
        <v/>
      </c>
      <c r="D31" s="51" t="str">
        <f aca="false">IF($B31="","",IF(Тохиргоо!$C$28=0,C31,MIN(C31,Тохиргоо!$C$14*Тохиргоо!$C$28)))</f>
        <v/>
      </c>
      <c r="E31" s="51" t="str">
        <f aca="false">IF($B31="","",ROUND(D31*Тохиргоо!$C$22,0))</f>
        <v/>
      </c>
      <c r="F31" s="51" t="str">
        <f aca="false">IF($B31="","",ROUND(D31*Тохиргоо!$C$23,0))</f>
        <v/>
      </c>
      <c r="G31" s="51" t="str">
        <f aca="false">IF($B31="","",ROUND(D31*Тохиргоо!$C$24,0))</f>
        <v/>
      </c>
      <c r="H31" s="51" t="str">
        <f aca="false">IF($B31="","",ROUND(D31*Тохиргоо!$C$25,0))</f>
        <v/>
      </c>
      <c r="I31" s="51" t="str">
        <f aca="false">IF($B31="","",SUM(E31:H31))</f>
        <v/>
      </c>
      <c r="J31" s="51" t="str">
        <f aca="false">IF($B31="","",ROUND(D31*Тохиргоо!$C$27,0))</f>
        <v/>
      </c>
      <c r="K31" s="51" t="str">
        <f aca="false">IF($B31="","",I31+J31)</f>
        <v/>
      </c>
      <c r="L31" s="46" t="str">
        <f aca="false">IF($B31="","",C31+K31)</f>
        <v/>
      </c>
    </row>
    <row r="32" customFormat="false" ht="15" hidden="false" customHeight="false" outlineLevel="0" collapsed="false">
      <c r="A32" s="7" t="str">
        <f aca="false">IF($B32="","",ROW()-4)</f>
        <v/>
      </c>
      <c r="B32" s="41" t="str">
        <f aca="false">IF('Сарын сүүл'!$B32="","",'Сарын сүүл'!$B32)</f>
        <v/>
      </c>
      <c r="C32" s="42" t="str">
        <f aca="false">IF($B32="","",'Сарын сүүл'!$O32)</f>
        <v/>
      </c>
      <c r="D32" s="51" t="str">
        <f aca="false">IF($B32="","",IF(Тохиргоо!$C$28=0,C32,MIN(C32,Тохиргоо!$C$14*Тохиргоо!$C$28)))</f>
        <v/>
      </c>
      <c r="E32" s="51" t="str">
        <f aca="false">IF($B32="","",ROUND(D32*Тохиргоо!$C$22,0))</f>
        <v/>
      </c>
      <c r="F32" s="51" t="str">
        <f aca="false">IF($B32="","",ROUND(D32*Тохиргоо!$C$23,0))</f>
        <v/>
      </c>
      <c r="G32" s="51" t="str">
        <f aca="false">IF($B32="","",ROUND(D32*Тохиргоо!$C$24,0))</f>
        <v/>
      </c>
      <c r="H32" s="51" t="str">
        <f aca="false">IF($B32="","",ROUND(D32*Тохиргоо!$C$25,0))</f>
        <v/>
      </c>
      <c r="I32" s="51" t="str">
        <f aca="false">IF($B32="","",SUM(E32:H32))</f>
        <v/>
      </c>
      <c r="J32" s="51" t="str">
        <f aca="false">IF($B32="","",ROUND(D32*Тохиргоо!$C$27,0))</f>
        <v/>
      </c>
      <c r="K32" s="51" t="str">
        <f aca="false">IF($B32="","",I32+J32)</f>
        <v/>
      </c>
      <c r="L32" s="46" t="str">
        <f aca="false">IF($B32="","",C32+K32)</f>
        <v/>
      </c>
    </row>
    <row r="33" customFormat="false" ht="15" hidden="false" customHeight="false" outlineLevel="0" collapsed="false">
      <c r="A33" s="7" t="str">
        <f aca="false">IF($B33="","",ROW()-4)</f>
        <v/>
      </c>
      <c r="B33" s="41" t="str">
        <f aca="false">IF('Сарын сүүл'!$B33="","",'Сарын сүүл'!$B33)</f>
        <v/>
      </c>
      <c r="C33" s="42" t="str">
        <f aca="false">IF($B33="","",'Сарын сүүл'!$O33)</f>
        <v/>
      </c>
      <c r="D33" s="51" t="str">
        <f aca="false">IF($B33="","",IF(Тохиргоо!$C$28=0,C33,MIN(C33,Тохиргоо!$C$14*Тохиргоо!$C$28)))</f>
        <v/>
      </c>
      <c r="E33" s="51" t="str">
        <f aca="false">IF($B33="","",ROUND(D33*Тохиргоо!$C$22,0))</f>
        <v/>
      </c>
      <c r="F33" s="51" t="str">
        <f aca="false">IF($B33="","",ROUND(D33*Тохиргоо!$C$23,0))</f>
        <v/>
      </c>
      <c r="G33" s="51" t="str">
        <f aca="false">IF($B33="","",ROUND(D33*Тохиргоо!$C$24,0))</f>
        <v/>
      </c>
      <c r="H33" s="51" t="str">
        <f aca="false">IF($B33="","",ROUND(D33*Тохиргоо!$C$25,0))</f>
        <v/>
      </c>
      <c r="I33" s="51" t="str">
        <f aca="false">IF($B33="","",SUM(E33:H33))</f>
        <v/>
      </c>
      <c r="J33" s="51" t="str">
        <f aca="false">IF($B33="","",ROUND(D33*Тохиргоо!$C$27,0))</f>
        <v/>
      </c>
      <c r="K33" s="51" t="str">
        <f aca="false">IF($B33="","",I33+J33)</f>
        <v/>
      </c>
      <c r="L33" s="46" t="str">
        <f aca="false">IF($B33="","",C33+K33)</f>
        <v/>
      </c>
    </row>
    <row r="34" customFormat="false" ht="15" hidden="false" customHeight="false" outlineLevel="0" collapsed="false">
      <c r="A34" s="7" t="str">
        <f aca="false">IF($B34="","",ROW()-4)</f>
        <v/>
      </c>
      <c r="B34" s="41" t="str">
        <f aca="false">IF('Сарын сүүл'!$B34="","",'Сарын сүүл'!$B34)</f>
        <v/>
      </c>
      <c r="C34" s="42" t="str">
        <f aca="false">IF($B34="","",'Сарын сүүл'!$O34)</f>
        <v/>
      </c>
      <c r="D34" s="51" t="str">
        <f aca="false">IF($B34="","",IF(Тохиргоо!$C$28=0,C34,MIN(C34,Тохиргоо!$C$14*Тохиргоо!$C$28)))</f>
        <v/>
      </c>
      <c r="E34" s="51" t="str">
        <f aca="false">IF($B34="","",ROUND(D34*Тохиргоо!$C$22,0))</f>
        <v/>
      </c>
      <c r="F34" s="51" t="str">
        <f aca="false">IF($B34="","",ROUND(D34*Тохиргоо!$C$23,0))</f>
        <v/>
      </c>
      <c r="G34" s="51" t="str">
        <f aca="false">IF($B34="","",ROUND(D34*Тохиргоо!$C$24,0))</f>
        <v/>
      </c>
      <c r="H34" s="51" t="str">
        <f aca="false">IF($B34="","",ROUND(D34*Тохиргоо!$C$25,0))</f>
        <v/>
      </c>
      <c r="I34" s="51" t="str">
        <f aca="false">IF($B34="","",SUM(E34:H34))</f>
        <v/>
      </c>
      <c r="J34" s="51" t="str">
        <f aca="false">IF($B34="","",ROUND(D34*Тохиргоо!$C$27,0))</f>
        <v/>
      </c>
      <c r="K34" s="51" t="str">
        <f aca="false">IF($B34="","",I34+J34)</f>
        <v/>
      </c>
      <c r="L34" s="46" t="str">
        <f aca="false">IF($B34="","",C34+K34)</f>
        <v/>
      </c>
    </row>
    <row r="35" customFormat="false" ht="15" hidden="false" customHeight="false" outlineLevel="0" collapsed="false">
      <c r="A35" s="47"/>
      <c r="B35" s="47" t="s">
        <v>203</v>
      </c>
      <c r="C35" s="47" t="n">
        <f aca="false">SUM(C5:C34)</f>
        <v>24331955</v>
      </c>
      <c r="D35" s="47" t="n">
        <f aca="false">SUM(D5:D34)</f>
        <v>24331955</v>
      </c>
      <c r="E35" s="47" t="n">
        <f aca="false">SUM(E5:E34)</f>
        <v>2068215</v>
      </c>
      <c r="F35" s="47" t="n">
        <f aca="false">SUM(F5:F34)</f>
        <v>243318</v>
      </c>
      <c r="G35" s="47" t="n">
        <f aca="false">SUM(G5:G34)</f>
        <v>72997</v>
      </c>
      <c r="H35" s="47" t="n">
        <f aca="false">SUM(H5:H34)</f>
        <v>145991</v>
      </c>
      <c r="I35" s="47" t="n">
        <f aca="false">SUM(I5:I34)</f>
        <v>2530521</v>
      </c>
      <c r="J35" s="47" t="n">
        <f aca="false">SUM(J5:J34)</f>
        <v>486639</v>
      </c>
      <c r="K35" s="47" t="n">
        <f aca="false">SUM(K5:K34)</f>
        <v>3017160</v>
      </c>
      <c r="L35" s="47" t="n">
        <f aca="false">SUM(L5:L34)</f>
        <v>27349115</v>
      </c>
    </row>
    <row r="37" customFormat="false" ht="15" hidden="false" customHeight="false" outlineLevel="0" collapsed="false">
      <c r="B37" s="39" t="s">
        <v>246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0"/>
    <col collapsed="false" customWidth="true" hidden="false" outlineLevel="0" max="3" min="3" style="0" width="20"/>
    <col collapsed="false" customWidth="true" hidden="false" outlineLevel="0" max="4" min="4" style="0" width="34"/>
    <col collapsed="false" customWidth="true" hidden="false" outlineLevel="0" max="5" min="5" style="0" width="18"/>
    <col collapsed="false" customWidth="true" hidden="false" outlineLevel="0" max="6" min="6" style="0" width="50"/>
  </cols>
  <sheetData>
    <row r="1" customFormat="false" ht="17.35" hidden="false" customHeight="false" outlineLevel="0" collapsed="false">
      <c r="A1" s="9" t="s">
        <v>247</v>
      </c>
    </row>
    <row r="2" customFormat="false" ht="15" hidden="false" customHeight="false" outlineLevel="0" collapsed="false">
      <c r="A2" s="40" t="str">
        <f aca="false">Тохиргоо!$C$4&amp;"  |  "&amp;Тохиргоо!$C$5&amp;" оны "&amp;Тохиргоо!$C$6&amp;"-р сар"</f>
        <v>Жишээ ХХК  |  2026 оны 10-р сар</v>
      </c>
    </row>
    <row r="4" customFormat="false" ht="15" hidden="false" customHeight="false" outlineLevel="0" collapsed="false">
      <c r="B4" s="22" t="s">
        <v>248</v>
      </c>
      <c r="C4" s="22" t="s">
        <v>249</v>
      </c>
      <c r="D4" s="22" t="s">
        <v>154</v>
      </c>
    </row>
    <row r="5" customFormat="false" ht="15" hidden="false" customHeight="false" outlineLevel="0" collapsed="false">
      <c r="B5" s="11" t="s">
        <v>250</v>
      </c>
      <c r="C5" s="53" t="n">
        <f aca="false">COUNTIF('Сарын сүүл'!$B$5:$B$34,"?*")</f>
        <v>8</v>
      </c>
      <c r="D5" s="13"/>
    </row>
    <row r="6" customFormat="false" ht="15" hidden="false" customHeight="false" outlineLevel="0" collapsed="false">
      <c r="B6" s="11" t="s">
        <v>213</v>
      </c>
      <c r="C6" s="54" t="n">
        <f aca="false">'Сарын сүүл'!H35</f>
        <v>20863637</v>
      </c>
      <c r="D6" s="13"/>
    </row>
    <row r="7" customFormat="false" ht="15" hidden="false" customHeight="false" outlineLevel="0" collapsed="false">
      <c r="B7" s="11" t="s">
        <v>251</v>
      </c>
      <c r="C7" s="54" t="n">
        <f aca="false">'Сарын сүүл'!I35+'Сарын сүүл'!J35</f>
        <v>2187182</v>
      </c>
      <c r="D7" s="13"/>
    </row>
    <row r="8" customFormat="false" ht="15" hidden="false" customHeight="false" outlineLevel="0" collapsed="false">
      <c r="B8" s="11" t="s">
        <v>217</v>
      </c>
      <c r="C8" s="54" t="n">
        <f aca="false">'Сарын сүүл'!L35</f>
        <v>173863</v>
      </c>
      <c r="D8" s="13"/>
    </row>
    <row r="9" customFormat="false" ht="15" hidden="false" customHeight="false" outlineLevel="0" collapsed="false">
      <c r="B9" s="11" t="s">
        <v>218</v>
      </c>
      <c r="C9" s="54" t="n">
        <f aca="false">'Сарын сүүл'!M35</f>
        <v>300000</v>
      </c>
      <c r="D9" s="13"/>
    </row>
    <row r="10" customFormat="false" ht="15" hidden="false" customHeight="false" outlineLevel="0" collapsed="false">
      <c r="B10" s="11" t="s">
        <v>219</v>
      </c>
      <c r="C10" s="54" t="n">
        <f aca="false">'Сарын сүүл'!N35</f>
        <v>807273</v>
      </c>
      <c r="D10" s="13"/>
    </row>
    <row r="11" customFormat="false" ht="27.75" hidden="false" customHeight="true" outlineLevel="0" collapsed="false">
      <c r="B11" s="55" t="s">
        <v>220</v>
      </c>
      <c r="C11" s="56" t="n">
        <f aca="false">'Сарын сүүл'!O35</f>
        <v>24331955</v>
      </c>
      <c r="D11" s="13" t="s">
        <v>252</v>
      </c>
    </row>
    <row r="13" customFormat="false" ht="15" hidden="false" customHeight="false" outlineLevel="0" collapsed="false">
      <c r="B13" s="3" t="s">
        <v>253</v>
      </c>
      <c r="C13" s="3"/>
      <c r="D13" s="3"/>
    </row>
    <row r="14" customFormat="false" ht="15" hidden="false" customHeight="false" outlineLevel="0" collapsed="false">
      <c r="B14" s="11" t="s">
        <v>222</v>
      </c>
      <c r="C14" s="54" t="n">
        <f aca="false">'Сарын сүүл'!Q35</f>
        <v>2135311</v>
      </c>
      <c r="D14" s="13"/>
    </row>
    <row r="15" customFormat="false" ht="15" hidden="false" customHeight="false" outlineLevel="0" collapsed="false">
      <c r="B15" s="11" t="s">
        <v>223</v>
      </c>
      <c r="C15" s="54" t="n">
        <f aca="false">'Сарын сүүл'!R35</f>
        <v>449539</v>
      </c>
      <c r="D15" s="13"/>
    </row>
    <row r="16" customFormat="false" ht="15" hidden="false" customHeight="false" outlineLevel="0" collapsed="false">
      <c r="B16" s="55" t="s">
        <v>60</v>
      </c>
      <c r="C16" s="56" t="n">
        <f aca="false">'Сарын сүүл'!V35</f>
        <v>1979040</v>
      </c>
      <c r="D16" s="13"/>
    </row>
    <row r="17" customFormat="false" ht="15" hidden="false" customHeight="false" outlineLevel="0" collapsed="false">
      <c r="B17" s="11" t="s">
        <v>254</v>
      </c>
      <c r="C17" s="54" t="n">
        <f aca="false">'Сарын сүүл'!W35</f>
        <v>8276300</v>
      </c>
      <c r="D17" s="13"/>
    </row>
    <row r="18" customFormat="false" ht="15" hidden="false" customHeight="false" outlineLevel="0" collapsed="false">
      <c r="B18" s="11" t="s">
        <v>229</v>
      </c>
      <c r="C18" s="54" t="n">
        <f aca="false">'Сарын сүүл'!X35</f>
        <v>50000</v>
      </c>
      <c r="D18" s="13"/>
    </row>
    <row r="19" customFormat="false" ht="27.75" hidden="false" customHeight="true" outlineLevel="0" collapsed="false">
      <c r="B19" s="55" t="s">
        <v>255</v>
      </c>
      <c r="C19" s="56" t="n">
        <f aca="false">'Сарын сүүл'!Z35</f>
        <v>11441765</v>
      </c>
      <c r="D19" s="13" t="s">
        <v>256</v>
      </c>
    </row>
    <row r="20" customFormat="false" ht="15" hidden="false" customHeight="false" outlineLevel="0" collapsed="false">
      <c r="B20" s="11" t="s">
        <v>257</v>
      </c>
      <c r="C20" s="21" t="str">
        <f aca="false">IF(ROUND(C11-SUM(C14:C19),0)=0,"Зөрүүгүй ✓","ЗӨРҮҮТЭЙ — шалгана уу")</f>
        <v>Зөрүүгүй ✓</v>
      </c>
      <c r="D20" s="13"/>
    </row>
    <row r="22" customFormat="false" ht="15" hidden="false" customHeight="false" outlineLevel="0" collapsed="false">
      <c r="B22" s="3" t="s">
        <v>258</v>
      </c>
      <c r="C22" s="3"/>
      <c r="D22" s="3"/>
    </row>
    <row r="23" customFormat="false" ht="15" hidden="false" customHeight="false" outlineLevel="0" collapsed="false">
      <c r="B23" s="11" t="s">
        <v>259</v>
      </c>
      <c r="C23" s="54" t="n">
        <f aca="false">'Ажил олгогч'!I35</f>
        <v>2530521</v>
      </c>
      <c r="D23" s="13"/>
    </row>
    <row r="24" customFormat="false" ht="15" hidden="false" customHeight="false" outlineLevel="0" collapsed="false">
      <c r="B24" s="11" t="s">
        <v>260</v>
      </c>
      <c r="C24" s="54" t="n">
        <f aca="false">'Ажил олгогч'!J35</f>
        <v>486639</v>
      </c>
      <c r="D24" s="13"/>
    </row>
    <row r="25" customFormat="false" ht="15" hidden="false" customHeight="false" outlineLevel="0" collapsed="false">
      <c r="B25" s="11" t="s">
        <v>261</v>
      </c>
      <c r="C25" s="54" t="n">
        <f aca="false">'Ажил олгогч'!L35</f>
        <v>27349115</v>
      </c>
      <c r="D25" s="13"/>
    </row>
    <row r="27" customFormat="false" ht="15" hidden="false" customHeight="false" outlineLevel="0" collapsed="false">
      <c r="B27" s="3" t="s">
        <v>262</v>
      </c>
      <c r="C27" s="3"/>
      <c r="D27" s="3"/>
    </row>
    <row r="28" customFormat="false" ht="27.75" hidden="false" customHeight="true" outlineLevel="0" collapsed="false">
      <c r="B28" s="11" t="s">
        <v>263</v>
      </c>
      <c r="C28" s="18" t="n">
        <f aca="false">C14+C23</f>
        <v>4665832</v>
      </c>
      <c r="D28" s="13" t="s">
        <v>264</v>
      </c>
    </row>
    <row r="29" customFormat="false" ht="27.75" hidden="false" customHeight="true" outlineLevel="0" collapsed="false">
      <c r="B29" s="11" t="s">
        <v>265</v>
      </c>
      <c r="C29" s="18" t="n">
        <f aca="false">C15+C24</f>
        <v>936178</v>
      </c>
      <c r="D29" s="13" t="s">
        <v>266</v>
      </c>
    </row>
    <row r="30" customFormat="false" ht="27.75" hidden="false" customHeight="true" outlineLevel="0" collapsed="false">
      <c r="B30" s="11" t="s">
        <v>267</v>
      </c>
      <c r="C30" s="18" t="n">
        <f aca="false">C16</f>
        <v>1979040</v>
      </c>
      <c r="D30" s="13" t="s">
        <v>268</v>
      </c>
    </row>
    <row r="32" customFormat="false" ht="15" hidden="false" customHeight="false" outlineLevel="0" collapsed="false">
      <c r="B32" s="22" t="s">
        <v>269</v>
      </c>
      <c r="C32" s="22" t="s">
        <v>270</v>
      </c>
      <c r="D32" s="22" t="s">
        <v>271</v>
      </c>
    </row>
    <row r="33" customFormat="false" ht="30" hidden="false" customHeight="true" outlineLevel="0" collapsed="false">
      <c r="B33" s="57" t="s">
        <v>272</v>
      </c>
      <c r="C33" s="57" t="s">
        <v>273</v>
      </c>
      <c r="D33" s="57" t="s">
        <v>274</v>
      </c>
    </row>
    <row r="34" customFormat="false" ht="30" hidden="false" customHeight="true" outlineLevel="0" collapsed="false">
      <c r="B34" s="57" t="s">
        <v>275</v>
      </c>
      <c r="C34" s="57" t="s">
        <v>276</v>
      </c>
      <c r="D34" s="57" t="s">
        <v>277</v>
      </c>
    </row>
    <row r="35" customFormat="false" ht="30" hidden="false" customHeight="true" outlineLevel="0" collapsed="false">
      <c r="B35" s="57" t="s">
        <v>278</v>
      </c>
      <c r="C35" s="57" t="s">
        <v>279</v>
      </c>
      <c r="D35" s="57" t="s">
        <v>280</v>
      </c>
    </row>
    <row r="36" customFormat="false" ht="30" hidden="false" customHeight="true" outlineLevel="0" collapsed="false">
      <c r="B36" s="57" t="s">
        <v>281</v>
      </c>
      <c r="C36" s="57" t="s">
        <v>282</v>
      </c>
      <c r="D36" s="57" t="s">
        <v>283</v>
      </c>
    </row>
    <row r="37" customFormat="false" ht="30" hidden="false" customHeight="true" outlineLevel="0" collapsed="false">
      <c r="B37" s="57" t="s">
        <v>284</v>
      </c>
      <c r="C37" s="57" t="s">
        <v>285</v>
      </c>
      <c r="D37" s="57" t="s">
        <v>286</v>
      </c>
    </row>
    <row r="40" customFormat="false" ht="15" hidden="false" customHeight="false" outlineLevel="0" collapsed="false">
      <c r="B40" s="3" t="s">
        <v>287</v>
      </c>
      <c r="C40" s="3"/>
      <c r="D40" s="3"/>
      <c r="E40" s="3"/>
      <c r="F40" s="3"/>
    </row>
    <row r="41" customFormat="false" ht="15" hidden="false" customHeight="true" outlineLevel="0" collapsed="false">
      <c r="B41" s="22" t="s">
        <v>288</v>
      </c>
      <c r="C41" s="22" t="s">
        <v>249</v>
      </c>
      <c r="D41" s="22" t="s">
        <v>289</v>
      </c>
      <c r="E41" s="22"/>
      <c r="F41" s="22" t="s">
        <v>290</v>
      </c>
    </row>
    <row r="42" customFormat="false" ht="15" hidden="false" customHeight="false" outlineLevel="0" collapsed="false">
      <c r="B42" s="11" t="s">
        <v>291</v>
      </c>
      <c r="C42" s="18" t="n">
        <f aca="false">C11</f>
        <v>24331955</v>
      </c>
      <c r="D42" s="11" t="s">
        <v>252</v>
      </c>
      <c r="E42" s="11"/>
      <c r="F42" s="11" t="s">
        <v>292</v>
      </c>
    </row>
    <row r="43" customFormat="false" ht="15" hidden="false" customHeight="false" outlineLevel="0" collapsed="false">
      <c r="B43" s="11" t="s">
        <v>293</v>
      </c>
      <c r="C43" s="18" t="n">
        <f aca="false">C23+C24</f>
        <v>3017160</v>
      </c>
      <c r="D43" s="11" t="s">
        <v>294</v>
      </c>
      <c r="E43" s="11"/>
      <c r="F43" s="11" t="s">
        <v>295</v>
      </c>
    </row>
    <row r="44" customFormat="false" ht="15" hidden="false" customHeight="false" outlineLevel="0" collapsed="false">
      <c r="B44" s="11" t="s">
        <v>296</v>
      </c>
      <c r="C44" s="18" t="n">
        <f aca="false">C14+C15</f>
        <v>2584850</v>
      </c>
      <c r="D44" s="11" t="s">
        <v>292</v>
      </c>
      <c r="E44" s="11"/>
      <c r="F44" s="11" t="s">
        <v>295</v>
      </c>
    </row>
    <row r="45" customFormat="false" ht="15" hidden="false" customHeight="false" outlineLevel="0" collapsed="false">
      <c r="B45" s="11" t="s">
        <v>297</v>
      </c>
      <c r="C45" s="18" t="n">
        <f aca="false">C16</f>
        <v>1979040</v>
      </c>
      <c r="D45" s="11" t="s">
        <v>292</v>
      </c>
      <c r="E45" s="11"/>
      <c r="F45" s="11" t="s">
        <v>298</v>
      </c>
    </row>
    <row r="46" customFormat="false" ht="15" hidden="false" customHeight="false" outlineLevel="0" collapsed="false">
      <c r="B46" s="11" t="s">
        <v>299</v>
      </c>
      <c r="C46" s="18" t="n">
        <f aca="false">C17</f>
        <v>8276300</v>
      </c>
      <c r="D46" s="11" t="s">
        <v>292</v>
      </c>
      <c r="E46" s="11"/>
      <c r="F46" s="11" t="s">
        <v>300</v>
      </c>
    </row>
    <row r="47" customFormat="false" ht="15" hidden="false" customHeight="false" outlineLevel="0" collapsed="false">
      <c r="B47" s="11" t="s">
        <v>301</v>
      </c>
      <c r="C47" s="18" t="n">
        <f aca="false">C18</f>
        <v>50000</v>
      </c>
      <c r="D47" s="11" t="s">
        <v>292</v>
      </c>
      <c r="E47" s="11"/>
      <c r="F47" s="11" t="s">
        <v>302</v>
      </c>
    </row>
    <row r="48" customFormat="false" ht="15" hidden="false" customHeight="false" outlineLevel="0" collapsed="false">
      <c r="B48" s="11" t="s">
        <v>303</v>
      </c>
      <c r="C48" s="18" t="n">
        <f aca="false">C19</f>
        <v>11441765</v>
      </c>
      <c r="D48" s="11" t="s">
        <v>292</v>
      </c>
      <c r="E48" s="11"/>
      <c r="F48" s="11" t="s">
        <v>300</v>
      </c>
    </row>
  </sheetData>
  <mergeCells count="9">
    <mergeCell ref="B40:F40"/>
    <mergeCell ref="D41:E41"/>
    <mergeCell ref="D42:E42"/>
    <mergeCell ref="D43:E43"/>
    <mergeCell ref="D44:E44"/>
    <mergeCell ref="D45:E45"/>
    <mergeCell ref="D46:E46"/>
    <mergeCell ref="D47:E47"/>
    <mergeCell ref="D48:E48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3" min="3" style="0" width="18"/>
    <col collapsed="false" customWidth="true" hidden="false" outlineLevel="0" max="4" min="4" style="0" width="30"/>
    <col collapsed="false" customWidth="true" hidden="false" outlineLevel="0" max="5" min="5" style="0" width="18"/>
    <col collapsed="false" customWidth="true" hidden="true" outlineLevel="0" max="7" min="7" style="0" width="13"/>
  </cols>
  <sheetData>
    <row r="2" customFormat="false" ht="19.7" hidden="false" customHeight="false" outlineLevel="0" collapsed="false">
      <c r="B2" s="58" t="s">
        <v>304</v>
      </c>
      <c r="C2" s="58"/>
      <c r="D2" s="58"/>
      <c r="E2" s="58"/>
    </row>
    <row r="3" customFormat="false" ht="15" hidden="false" customHeight="false" outlineLevel="0" collapsed="false">
      <c r="B3" s="59" t="str">
        <f aca="false">Тохиргоо!$C$4&amp;"  |  "&amp;Тохиргоо!$C$5&amp;" оны "&amp;Тохиргоо!$C$6&amp;"-р сар"</f>
        <v>Жишээ ХХК  |  2026 оны 10-р сар</v>
      </c>
      <c r="C3" s="59"/>
      <c r="D3" s="59"/>
      <c r="E3" s="59"/>
    </row>
    <row r="5" customFormat="false" ht="15" hidden="false" customHeight="false" outlineLevel="0" collapsed="false">
      <c r="B5" s="60" t="s">
        <v>305</v>
      </c>
      <c r="C5" s="61" t="s">
        <v>306</v>
      </c>
      <c r="D5" s="61"/>
      <c r="G5" s="62" t="n">
        <f aca="false">IFERROR(MATCH(C5,'Сарын сүүл'!$B$5:$B$34,0),"")</f>
        <v>1</v>
      </c>
    </row>
    <row r="7" customFormat="false" ht="15" hidden="false" customHeight="false" outlineLevel="0" collapsed="false">
      <c r="B7" s="11" t="s">
        <v>307</v>
      </c>
      <c r="C7" s="63" t="str">
        <f aca="false">IFERROR(INDEX('Сарын сүүл'!$C$5:$C$34,$G$5)&amp;"   /   "&amp;INDEX(Ажилтнууд!$E$5:$E$34,$G$5),"")</f>
        <v>ЖШ00000001   /   Холболтгүй</v>
      </c>
      <c r="D7" s="63"/>
    </row>
    <row r="8" customFormat="false" ht="15" hidden="false" customHeight="false" outlineLevel="0" collapsed="false">
      <c r="B8" s="11" t="s">
        <v>148</v>
      </c>
      <c r="C8" s="63" t="str">
        <f aca="false">IFERROR(INDEX('Сарын сүүл'!$D$5:$D$34,$G$5),"")</f>
        <v>Гүйцэтгэх захирал</v>
      </c>
      <c r="D8" s="63"/>
    </row>
    <row r="9" customFormat="false" ht="15" hidden="false" customHeight="false" outlineLevel="0" collapsed="false">
      <c r="B9" s="11" t="s">
        <v>149</v>
      </c>
      <c r="C9" s="64" t="n">
        <f aca="false">IFERROR(INDEX('Сарын сүүл'!$E$5:$E$34,$G$5),"")</f>
        <v>8500000</v>
      </c>
      <c r="D9" s="64"/>
    </row>
    <row r="10" customFormat="false" ht="15" hidden="false" customHeight="false" outlineLevel="0" collapsed="false">
      <c r="B10" s="11" t="s">
        <v>308</v>
      </c>
      <c r="C10" s="63" t="str">
        <f aca="false">IFERROR(INDEX('Сарын сүүл'!$F$5:$F$34,$G$5)&amp;" / "&amp;INDEX('Сарын сүүл'!$G$5:$G$34,$G$5),"")</f>
        <v>22 / 22</v>
      </c>
      <c r="D10" s="63"/>
    </row>
    <row r="12" customFormat="false" ht="15" hidden="false" customHeight="false" outlineLevel="0" collapsed="false">
      <c r="B12" s="22" t="s">
        <v>309</v>
      </c>
      <c r="C12" s="22" t="s">
        <v>249</v>
      </c>
      <c r="D12" s="22" t="s">
        <v>310</v>
      </c>
      <c r="E12" s="22" t="s">
        <v>249</v>
      </c>
    </row>
    <row r="13" customFormat="false" ht="15" hidden="false" customHeight="false" outlineLevel="0" collapsed="false">
      <c r="B13" s="11" t="s">
        <v>213</v>
      </c>
      <c r="C13" s="54" t="n">
        <f aca="false">IFERROR(INDEX('Сарын сүүл'!$H$5:$H$34,$G$5),"")</f>
        <v>8500000</v>
      </c>
      <c r="D13" s="11" t="s">
        <v>311</v>
      </c>
      <c r="E13" s="54" t="n">
        <f aca="false">IFERROR(INDEX('Сарын сүүл'!$Q$5:$Q$34,$G$5),"")</f>
        <v>752400</v>
      </c>
    </row>
    <row r="14" customFormat="false" ht="15" hidden="false" customHeight="false" outlineLevel="0" collapsed="false">
      <c r="B14" s="11" t="s">
        <v>214</v>
      </c>
      <c r="C14" s="54" t="n">
        <f aca="false">IFERROR(INDEX('Сарын сүүл'!$I$5:$I$34,$G$5),"")</f>
        <v>850000</v>
      </c>
      <c r="D14" s="11" t="s">
        <v>312</v>
      </c>
      <c r="E14" s="54" t="n">
        <f aca="false">IFERROR(INDEX('Сарын сүүл'!$R$5:$R$34,$G$5),"")</f>
        <v>158400</v>
      </c>
    </row>
    <row r="15" customFormat="false" ht="15" hidden="false" customHeight="false" outlineLevel="0" collapsed="false">
      <c r="B15" s="11" t="s">
        <v>215</v>
      </c>
      <c r="C15" s="54" t="n">
        <f aca="false">IFERROR(INDEX('Сарын сүүл'!$J$5:$J$34,$G$5),"")</f>
        <v>425000</v>
      </c>
      <c r="D15" s="11" t="s">
        <v>60</v>
      </c>
      <c r="E15" s="54" t="n">
        <f aca="false">IFERROR(INDEX('Сарын сүүл'!$V$5:$V$34,$G$5),"")</f>
        <v>886420</v>
      </c>
    </row>
    <row r="16" customFormat="false" ht="15" hidden="false" customHeight="false" outlineLevel="0" collapsed="false">
      <c r="B16" s="11" t="s">
        <v>217</v>
      </c>
      <c r="C16" s="54" t="n">
        <f aca="false">IFERROR(INDEX('Сарын сүүл'!$L$5:$L$34,$G$5),"")</f>
        <v>0</v>
      </c>
      <c r="D16" s="11" t="s">
        <v>313</v>
      </c>
      <c r="E16" s="54" t="n">
        <f aca="false">IFERROR(INDEX('Сарын сүүл'!$W$5:$W$34,$G$5),"")</f>
        <v>3400000</v>
      </c>
    </row>
    <row r="17" customFormat="false" ht="15" hidden="false" customHeight="false" outlineLevel="0" collapsed="false">
      <c r="B17" s="11" t="s">
        <v>218</v>
      </c>
      <c r="C17" s="54" t="n">
        <f aca="false">IFERROR(INDEX('Сарын сүүл'!$M$5:$M$34,$G$5),"")</f>
        <v>0</v>
      </c>
      <c r="D17" s="11" t="s">
        <v>229</v>
      </c>
      <c r="E17" s="54" t="n">
        <f aca="false">IFERROR(INDEX('Сарын сүүл'!$X$5:$X$34,$G$5),"")</f>
        <v>0</v>
      </c>
    </row>
    <row r="18" customFormat="false" ht="15" hidden="false" customHeight="false" outlineLevel="0" collapsed="false">
      <c r="B18" s="11" t="s">
        <v>219</v>
      </c>
      <c r="C18" s="54" t="n">
        <f aca="false">IFERROR(INDEX('Сарын сүүл'!$N$5:$N$34,$G$5),"")</f>
        <v>0</v>
      </c>
      <c r="D18" s="11"/>
      <c r="E18" s="54"/>
    </row>
    <row r="19" customFormat="false" ht="15" hidden="false" customHeight="false" outlineLevel="0" collapsed="false">
      <c r="B19" s="65" t="s">
        <v>314</v>
      </c>
      <c r="C19" s="66" t="n">
        <f aca="false">IFERROR(INDEX('Сарын сүүл'!$O$5:$O$34,$G$5),"")</f>
        <v>9775000</v>
      </c>
      <c r="D19" s="65" t="s">
        <v>230</v>
      </c>
      <c r="E19" s="66" t="n">
        <f aca="false">IFERROR(INDEX('Сарын сүүл'!$Y$5:$Y$34,$G$5),"")</f>
        <v>5197220</v>
      </c>
    </row>
    <row r="21" customFormat="false" ht="15" hidden="false" customHeight="false" outlineLevel="0" collapsed="false">
      <c r="B21" s="67" t="s">
        <v>315</v>
      </c>
      <c r="C21" s="67"/>
      <c r="D21" s="67"/>
      <c r="E21" s="68" t="n">
        <f aca="false">IFERROR(INDEX('Сарын сүүл'!$Z$5:$Z$34,$G$5),"")</f>
        <v>4577780</v>
      </c>
    </row>
    <row r="23" customFormat="false" ht="15" hidden="false" customHeight="false" outlineLevel="0" collapsed="false">
      <c r="B23" s="11" t="s">
        <v>316</v>
      </c>
      <c r="C23" s="54" t="n">
        <f aca="false">IFERROR(INDEX('Сарын сүүл'!$U$5:$U$34,$G$5),"")</f>
        <v>0</v>
      </c>
    </row>
    <row r="24" customFormat="false" ht="15" hidden="false" customHeight="false" outlineLevel="0" collapsed="false">
      <c r="B24" s="11" t="s">
        <v>317</v>
      </c>
      <c r="C24" s="54" t="n">
        <f aca="false">IFERROR(INDEX('Ажил олгогч'!$K$5:$K$34,$G$5),"")</f>
        <v>1212100</v>
      </c>
    </row>
    <row r="25" customFormat="false" ht="15" hidden="false" customHeight="false" outlineLevel="0" collapsed="false">
      <c r="B25" s="11" t="s">
        <v>318</v>
      </c>
      <c r="C25" s="54" t="n">
        <f aca="false">IFERROR(INDEX('Сарын сүүл'!$W$5:$W$34,$G$5)+INDEX('Сарын сүүл'!$Z$5:$Z$34,$G$5),"")</f>
        <v>7977780</v>
      </c>
    </row>
    <row r="28" customFormat="false" ht="15" hidden="false" customHeight="false" outlineLevel="0" collapsed="false">
      <c r="B28" s="48" t="s">
        <v>319</v>
      </c>
    </row>
  </sheetData>
  <mergeCells count="8">
    <mergeCell ref="B2:E2"/>
    <mergeCell ref="B3:E3"/>
    <mergeCell ref="C5:D5"/>
    <mergeCell ref="C7:D7"/>
    <mergeCell ref="C8:D8"/>
    <mergeCell ref="C9:D9"/>
    <mergeCell ref="C10:D10"/>
    <mergeCell ref="B21:D21"/>
  </mergeCells>
  <dataValidations count="1">
    <dataValidation allowBlank="false" error="Жагсаалтаас сонгоно уу" errorStyle="stop" operator="between" showDropDown="false" showErrorMessage="true" showInputMessage="false" sqref="C5" type="list">
      <formula1>'Сарын сүүл'!$B$5:$B$34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2026-10-20T05:10:19Z</dcterms:created>
  <dc:creator>openpyxl</dc:creator>
  <dc:description/>
  <dc:language>en-US</dc:language>
  <cp:lastModifiedBy/>
  <dcterms:modified xsi:type="dcterms:W3CDTF">2026-10-20T05:10:20Z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